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8" yWindow="216" windowWidth="15516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12'!$A$1:$J$111</definedName>
  </definedNames>
  <calcPr fullCalcOnLoad="1"/>
</workbook>
</file>

<file path=xl/sharedStrings.xml><?xml version="1.0" encoding="utf-8"?>
<sst xmlns="http://schemas.openxmlformats.org/spreadsheetml/2006/main" count="120" uniqueCount="114">
  <si>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</si>
  <si>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</si>
  <si>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</si>
  <si>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</si>
  <si>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</si>
  <si>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</si>
  <si>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</si>
  <si>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</si>
  <si>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</si>
  <si>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</si>
  <si>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</si>
  <si>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</si>
  <si>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</si>
  <si>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</si>
  <si>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>ВИДАТКИ</t>
  </si>
  <si>
    <t>Поточний ремонт та утримання технічних засобів регулювання дорожнього руху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</si>
  <si>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</si>
  <si>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</si>
  <si>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</si>
  <si>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</si>
  <si>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</si>
  <si>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</si>
  <si>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</si>
  <si>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</si>
  <si>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</si>
  <si>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</si>
  <si>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</si>
  <si>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</si>
  <si>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</si>
  <si>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</si>
  <si>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</si>
  <si>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</si>
  <si>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</si>
  <si>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</si>
  <si>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</si>
  <si>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</si>
  <si>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ГОЛОВНИЙ РОЗПОРЯДНИК КОШТІВ - ДЕПАРТАМЕНТ АРХІТЕКТУРИ ТА МІСТОБУДУВАННЯ</t>
  </si>
  <si>
    <t>Спеціальний фонд</t>
  </si>
  <si>
    <t>з них</t>
  </si>
  <si>
    <t>бюджет розвитку</t>
  </si>
  <si>
    <t xml:space="preserve">  на проведення робіт, пов'язаних із будівництвом, реконструкцією, ремонтом та утриманням автомобільних доріг у 2019 році</t>
  </si>
  <si>
    <t>Інші заходи із розвитку та збереження вулично-дорожньої мережі міста (зимове та літнє утримання доріг)</t>
  </si>
  <si>
    <t>Поточний ремонт та утримання мереж зливової каналізації</t>
  </si>
  <si>
    <t>Капітальний ремонт міжквартального проїзду від вул.Героїв Майдану до алеї Генерала Путейка (вздовж буд.3/2) в м.Черкаси  (реалізація проектів-переможців визначених згідно Програми "Громадський бюджет міста Черкаси на 2015-2019 роки)</t>
  </si>
  <si>
    <t>Капітальний ремонт території на розі вулиць В.Чорновола та Гоголя (реалізація проектів-переможців визначених згідно Програми "Громадський бюджет міста Черкаси на 2015-2019 роки)</t>
  </si>
  <si>
    <t>Капітальний ремонт міжквартального проїзду від вул. С. Амброса до житлового будинку № 6 по вул. Добровольского</t>
  </si>
  <si>
    <t>Капітальний ремонт міжквартального проїзду від вул. Г. Сагайдачного до будівлі 175 по вул. Різдвяній в м. Черкаси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</si>
  <si>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</si>
  <si>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вул. Благовісна (тротуар, непарна сторона від вул. Митницька до вул. Н. Сотні)</t>
  </si>
  <si>
    <t>Капітальний ремонт вул. Благовісна (тротуар, парна сторона, від вул. Митницька до вул. Н. Сотні)</t>
  </si>
  <si>
    <t>Капітальний ремонт вул. Волкова (тротуар, парна/непарна сторона, від вул. Новопричистенська до вул. Різдвяна)</t>
  </si>
  <si>
    <t>Капітальний ремонт  вул.Гоголя (тротуар, парна сторона від вул.Митницької до вул.Небесної Сотні)</t>
  </si>
  <si>
    <t>Капітальний ремонт вул. Добровольського (тротуар, непарна сторона, від вул. Чигиринська до вул.Надпільна)</t>
  </si>
  <si>
    <t>Капітальний ремонт вул. Іллєнка (тротуар, парна сторона/непарна сторона, від вул. Амброса до вул. Толстого)</t>
  </si>
  <si>
    <t>Капітальний ремонт вул. Крилова (тротуар, парна сторона від вул. Надпільна до вул. І.Гонти)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</si>
  <si>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</si>
  <si>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вул. Пацаєва (тротуару від житлового будинку 14 до будинку 24 по вул. Пацаєва)</t>
  </si>
  <si>
    <t>Капітальний ремонт вул. Університетська (тротуар, непарна сторона, від вул. Надпільна до вул. І. Гонти)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</si>
  <si>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</si>
  <si>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пішохідної алеї від вул.Гетьмана Сагайдачного 237 до вул. Подолинського 24</t>
  </si>
  <si>
    <t>Капітальний ремонт пішоходної алеї від вул. Кобзарська до вул. Берегова</t>
  </si>
  <si>
    <t xml:space="preserve">Капітальний ремонт спуску Крилова в м.Черкаси </t>
  </si>
  <si>
    <t>Капітальний ремонт провулку Слобідський</t>
  </si>
  <si>
    <t>Капітальний ремонт вул. Бидгощська від вул. Різдвяної до міжквартального проїзду від вул. Г. Сагайдачного до будівлі 175 по вул. Різдвяній в м. Черкаси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</si>
  <si>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</t>
  </si>
  <si>
    <t>Капітальний ремонт мереж зливової каналізації по вул. Героїв Дніпра</t>
  </si>
  <si>
    <t>Реконструкція вул. Бидгощська (тротуар, парна сторона, від вул. С. Кішки до вул. Пастерівська)</t>
  </si>
  <si>
    <t>Реконструкція вул. Бидгощська (тротуар, парна сторона, від вул. С. Кішки до В. Чорновола)</t>
  </si>
  <si>
    <t>Реконструкція вул. С. Кішки (тротуар, парна сторона від вул. Бидгощскої до вул. Чайковського)</t>
  </si>
  <si>
    <t>Реконструкція вул. Новопричистенська (тротуар, парна сторона, від вул. Нарбутівської до вул. Г. Сагайдачного)</t>
  </si>
  <si>
    <t>Реконструкція узвозу Пастерівський</t>
  </si>
  <si>
    <t>Реконструкція вул. Гагаріна (від парку  Сосновий Бір  до узвозу Франка) в м. Черкаси</t>
  </si>
  <si>
    <t>Реконструкція вул. Генерела Момота (перехресття з вулицями Онопрієнка, Лісова Просіка)</t>
  </si>
  <si>
    <t>Реконструкція вулиці Толстого в м.Черкаси</t>
  </si>
  <si>
    <t>Капітальний ремонт внутрішньоквартального проїзду від  вул. Ю. Іллєнка, 130 до вул. Різдвяна 115 м. Черкаси</t>
  </si>
  <si>
    <t>Капітальний ремонт внутрішньоквартального проїзду від вул. Волкова, 103 до вул. Амброса, 12 м. Черкаси</t>
  </si>
  <si>
    <t>Капітальний ремонт між квартального проїзду від вул. Пацаєва, 14 до вул. Гетьмана Сагайдачного 241 м. Черкаси</t>
  </si>
  <si>
    <t>Капітальний ремонт бульв. Шевченка (тротуари від вул. Небесної Сотні до вул. Г.Сталінграда), м. Черкаси</t>
  </si>
  <si>
    <t xml:space="preserve">Капітальний ремонт бульв. Шевченка від вул. Університетської до вул. Можайського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</si>
  <si>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</si>
  <si>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вул. Нарбутівська від вул. Ю. Іллєнка до вул. Різдвяна  м. Черкаси</t>
  </si>
  <si>
    <t>Капітальний ремонт вул.Сумгаїтської (від вул.Одеської до вул.30-річчя Перемоги) в м.Черкаси</t>
  </si>
  <si>
    <t>Реконструкція  вул. Пастерівська (тротуар парна сторона) від вул. О. Маламужа до вул. Пилипенка м. Черкаси</t>
  </si>
  <si>
    <t>Реконструкція тротуару по бул.Шевченка (непарна сторона) від вул. Пушкіна до вул. Франка (мощення)</t>
  </si>
  <si>
    <t>Реконструкція сходів з вулиці Верхня Горова до вул. Гагаріна (біля Саду мрій)</t>
  </si>
  <si>
    <r>
      <t xml:space="preserve">Реконструкція вул. </t>
    </r>
    <r>
      <rPr>
        <sz val="14"/>
        <color indexed="8"/>
        <rFont val="Times New Roman"/>
        <family val="1"/>
      </rPr>
      <t>Героїв Дніпра  (від вул. Богдана Хмельницького до вул. Сержанта Смірнова), м. Черкаси</t>
    </r>
  </si>
  <si>
    <r>
      <t>Реконструкція вул.</t>
    </r>
    <r>
      <rPr>
        <sz val="14"/>
        <color indexed="8"/>
        <rFont val="Times New Roman"/>
        <family val="1"/>
      </rPr>
      <t xml:space="preserve"> Героїв Дніпра  (від вул. Сержанта Жужоми до вул. Богдана Хмельницького), в м. Черкаси</t>
    </r>
  </si>
  <si>
    <t>Реконструкція вул. Героїв Дніпра  (від вул. Сержанта Смірнова до вул. Козацька), в м. Черкаси</t>
  </si>
  <si>
    <t>Реконструкція вул. Гуржіївська від вул. Верхня Горова до вул. Надпільна в м. Черкаси</t>
  </si>
  <si>
    <t>Реконструкція вул. Добровольского від бул. Шевчена до вул. Сагайдачного м. Черкаси</t>
  </si>
  <si>
    <t>Реконструкція вул. Ільїна від вул. Чорновола до вул. Пацаєва (І черга)</t>
  </si>
  <si>
    <t>Реконструкція вул. Чехова від вул. Нижня Горова до вул. Гетьмана Сагайдачного м. Черкаси</t>
  </si>
  <si>
    <t>Реконструкція бул. Шевченка від вул. Лазарєва до вул. Б. Вишнивецького м. Черкаси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</si>
  <si>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</si>
  <si>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</si>
  <si>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Будівництво набережної між вул. Козацька та вул. С. Смірнова м. Черкаси</t>
  </si>
  <si>
    <t>Реконструкція із застосуванням щебенево-мастичного асфальтобетону вул. Хрещатик від вул. Котовського до вул. Леніна</t>
  </si>
  <si>
    <t>Капітальний ремонт вул. Оборонної</t>
  </si>
  <si>
    <t>Капітальний ремонт вул. Першотравнева в м. 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</si>
  <si>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</si>
  <si>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В. Чорновола (встановлення світлофору біля будинку № 243)</t>
  </si>
  <si>
    <t xml:space="preserve">Капітальний ремонт вул.Пилипенка (тротуар парна сторона) від вул. Пастерівської до вул. М.Залізняка, м. Черкаси </t>
  </si>
  <si>
    <t>Капітальний ремонт бульв. Шевченка (тротуари від вул. Припортова до вул. Добровольського),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</si>
  <si>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</si>
  <si>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Відсоток виконання до плану 5 місяців</t>
  </si>
  <si>
    <t>Залишок призначень до плану 5 місяців</t>
  </si>
  <si>
    <t>Капітальний ремонт міжквартального проїзду від вул. Різдв'яна до ДНЗ № 43</t>
  </si>
  <si>
    <t>Капітальний ремонт вул. Амброса (тротуар, парна сторона від вул. Новопричистенська до вул. Іллєнка)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</si>
  <si>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</si>
  <si>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</si>
  <si>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 xml:space="preserve">Капітальний ремонт вул. Різдвяна (тротуар, парна сторона від вул. Волкова до вул. Толстого) </t>
  </si>
  <si>
    <t>Капітальний ремонт вул. Ільїна (від вул. Можайського до вул. М. Грушевського) м. Черкаси</t>
  </si>
  <si>
    <t>спец фонд</t>
  </si>
  <si>
    <t>Касові видатки станом на 28.05.19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</si>
</sst>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6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i/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i/>
      <sz val="14"/>
      <color theme="0"/>
      <name val="Times New Roman"/>
      <family val="1"/>
    </font>
    <font>
      <sz val="14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9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6" fillId="47" borderId="8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51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7" fillId="3" borderId="0" applyNumberFormat="0" applyBorder="0" applyAlignment="0" applyProtection="0"/>
    <xf numFmtId="0" fontId="58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9" fillId="47" borderId="12" applyNumberFormat="0" applyAlignment="0" applyProtection="0"/>
    <xf numFmtId="0" fontId="19" fillId="0" borderId="13" applyNumberFormat="0" applyFill="0" applyAlignment="0" applyProtection="0"/>
    <xf numFmtId="0" fontId="60" fillId="51" borderId="0" applyNumberFormat="0" applyBorder="0" applyAlignment="0" applyProtection="0"/>
    <xf numFmtId="0" fontId="21" fillId="0" borderId="0">
      <alignment/>
      <protection/>
    </xf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8" fillId="0" borderId="14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52" borderId="14" xfId="112" applyFont="1" applyFill="1" applyBorder="1" applyAlignment="1">
      <alignment horizontal="center"/>
      <protection/>
    </xf>
    <xf numFmtId="0" fontId="33" fillId="52" borderId="14" xfId="112" applyFont="1" applyFill="1" applyBorder="1">
      <alignment/>
      <protection/>
    </xf>
    <xf numFmtId="0" fontId="32" fillId="52" borderId="14" xfId="112" applyFont="1" applyFill="1" applyBorder="1" applyAlignment="1">
      <alignment horizontal="left" wrapText="1"/>
      <protection/>
    </xf>
    <xf numFmtId="4" fontId="32" fillId="52" borderId="14" xfId="131" applyNumberFormat="1" applyFont="1" applyFill="1" applyBorder="1" applyAlignment="1">
      <alignment horizontal="center" vertical="center"/>
    </xf>
    <xf numFmtId="49" fontId="33" fillId="0" borderId="14" xfId="112" applyNumberFormat="1" applyFont="1" applyFill="1" applyBorder="1" applyAlignment="1">
      <alignment horizontal="center" vertical="center" wrapText="1"/>
      <protection/>
    </xf>
    <xf numFmtId="0" fontId="33" fillId="0" borderId="14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4" xfId="112" applyFont="1" applyBorder="1">
      <alignment/>
      <protection/>
    </xf>
    <xf numFmtId="0" fontId="27" fillId="0" borderId="14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4" xfId="112" applyFont="1" applyFill="1" applyBorder="1" applyAlignment="1">
      <alignment horizontal="left" wrapText="1"/>
      <protection/>
    </xf>
    <xf numFmtId="4" fontId="33" fillId="0" borderId="14" xfId="107" applyNumberFormat="1" applyFont="1" applyFill="1" applyBorder="1" applyAlignment="1">
      <alignment horizontal="center"/>
      <protection/>
    </xf>
    <xf numFmtId="0" fontId="33" fillId="0" borderId="14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4" xfId="112" applyFont="1" applyFill="1" applyBorder="1" applyAlignment="1">
      <alignment horizontal="left" wrapText="1"/>
      <protection/>
    </xf>
    <xf numFmtId="4" fontId="35" fillId="0" borderId="14" xfId="107" applyNumberFormat="1" applyFont="1" applyFill="1" applyBorder="1" applyAlignment="1">
      <alignment horizontal="center"/>
      <protection/>
    </xf>
    <xf numFmtId="16" fontId="32" fillId="52" borderId="14" xfId="112" applyNumberFormat="1" applyFont="1" applyFill="1" applyBorder="1" applyAlignment="1">
      <alignment horizontal="center"/>
      <protection/>
    </xf>
    <xf numFmtId="0" fontId="32" fillId="52" borderId="14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4" xfId="112" applyNumberFormat="1" applyFont="1" applyFill="1" applyBorder="1" applyAlignment="1">
      <alignment horizontal="center" vertical="center" wrapText="1"/>
      <protection/>
    </xf>
    <xf numFmtId="0" fontId="35" fillId="0" borderId="14" xfId="112" applyFont="1" applyBorder="1">
      <alignment/>
      <protection/>
    </xf>
    <xf numFmtId="0" fontId="35" fillId="0" borderId="14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4" xfId="112" applyNumberFormat="1" applyFont="1" applyFill="1" applyBorder="1" applyAlignment="1">
      <alignment horizontal="center" vertical="center" wrapText="1"/>
      <protection/>
    </xf>
    <xf numFmtId="0" fontId="37" fillId="0" borderId="14" xfId="112" applyFont="1" applyBorder="1">
      <alignment/>
      <protection/>
    </xf>
    <xf numFmtId="0" fontId="37" fillId="0" borderId="14" xfId="0" applyFont="1" applyFill="1" applyBorder="1" applyAlignment="1">
      <alignment vertical="top" wrapText="1"/>
    </xf>
    <xf numFmtId="4" fontId="37" fillId="0" borderId="14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5" xfId="112" applyFont="1" applyFill="1" applyBorder="1" applyAlignment="1">
      <alignment horizontal="center" wrapText="1"/>
      <protection/>
    </xf>
    <xf numFmtId="4" fontId="32" fillId="0" borderId="15" xfId="107" applyNumberFormat="1" applyFont="1" applyFill="1" applyBorder="1" applyAlignment="1">
      <alignment horizontal="center"/>
      <protection/>
    </xf>
    <xf numFmtId="2" fontId="32" fillId="52" borderId="14" xfId="112" applyNumberFormat="1" applyFont="1" applyFill="1" applyBorder="1" applyAlignment="1">
      <alignment horizontal="center"/>
      <protection/>
    </xf>
    <xf numFmtId="0" fontId="4" fillId="0" borderId="14" xfId="112" applyFont="1" applyBorder="1">
      <alignment/>
      <protection/>
    </xf>
    <xf numFmtId="0" fontId="0" fillId="0" borderId="14" xfId="112" applyFont="1" applyFill="1" applyBorder="1">
      <alignment/>
      <protection/>
    </xf>
    <xf numFmtId="0" fontId="36" fillId="0" borderId="14" xfId="112" applyFont="1" applyBorder="1">
      <alignment/>
      <protection/>
    </xf>
    <xf numFmtId="4" fontId="0" fillId="0" borderId="14" xfId="112" applyNumberFormat="1" applyFont="1" applyBorder="1">
      <alignment/>
      <protection/>
    </xf>
    <xf numFmtId="4" fontId="38" fillId="0" borderId="14" xfId="0" applyNumberFormat="1" applyFont="1" applyFill="1" applyBorder="1" applyAlignment="1">
      <alignment horizontal="right"/>
    </xf>
    <xf numFmtId="4" fontId="20" fillId="0" borderId="14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53" borderId="14" xfId="112" applyNumberFormat="1" applyFont="1" applyFill="1" applyBorder="1" applyAlignment="1">
      <alignment/>
      <protection/>
    </xf>
    <xf numFmtId="4" fontId="5" fillId="0" borderId="14" xfId="112" applyNumberFormat="1" applyFont="1" applyBorder="1">
      <alignment/>
      <protection/>
    </xf>
    <xf numFmtId="186" fontId="33" fillId="0" borderId="14" xfId="112" applyNumberFormat="1" applyFont="1" applyFill="1" applyBorder="1" applyAlignment="1">
      <alignment horizont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2" fillId="0" borderId="14" xfId="112" applyFont="1" applyFill="1" applyBorder="1" applyAlignment="1">
      <alignment horizontal="center" wrapText="1"/>
      <protection/>
    </xf>
    <xf numFmtId="4" fontId="32" fillId="0" borderId="14" xfId="107" applyNumberFormat="1" applyFont="1" applyFill="1" applyBorder="1" applyAlignment="1">
      <alignment horizontal="center"/>
      <protection/>
    </xf>
    <xf numFmtId="0" fontId="34" fillId="53" borderId="14" xfId="0" applyFont="1" applyFill="1" applyBorder="1" applyAlignment="1">
      <alignment vertical="top" wrapText="1"/>
    </xf>
    <xf numFmtId="194" fontId="33" fillId="53" borderId="14" xfId="0" applyNumberFormat="1" applyFont="1" applyFill="1" applyBorder="1" applyAlignment="1">
      <alignment horizontal="center" vertical="center"/>
    </xf>
    <xf numFmtId="4" fontId="33" fillId="53" borderId="14" xfId="94" applyNumberFormat="1" applyFont="1" applyFill="1" applyBorder="1" applyAlignment="1">
      <alignment horizontal="center" vertical="center"/>
      <protection/>
    </xf>
    <xf numFmtId="4" fontId="35" fillId="52" borderId="14" xfId="107" applyNumberFormat="1" applyFont="1" applyFill="1" applyBorder="1" applyAlignment="1">
      <alignment horizontal="center"/>
      <protection/>
    </xf>
    <xf numFmtId="0" fontId="32" fillId="0" borderId="14" xfId="112" applyFont="1" applyFill="1" applyBorder="1" applyAlignment="1">
      <alignment horizontal="center"/>
      <protection/>
    </xf>
    <xf numFmtId="0" fontId="35" fillId="0" borderId="14" xfId="112" applyFont="1" applyFill="1" applyBorder="1">
      <alignment/>
      <protection/>
    </xf>
    <xf numFmtId="4" fontId="27" fillId="53" borderId="14" xfId="0" applyNumberFormat="1" applyFont="1" applyFill="1" applyBorder="1" applyAlignment="1">
      <alignment horizontal="center" vertical="center"/>
    </xf>
    <xf numFmtId="0" fontId="40" fillId="0" borderId="14" xfId="112" applyFont="1" applyBorder="1">
      <alignment/>
      <protection/>
    </xf>
    <xf numFmtId="194" fontId="41" fillId="0" borderId="14" xfId="0" applyNumberFormat="1" applyFont="1" applyFill="1" applyBorder="1" applyAlignment="1">
      <alignment horizontal="right" wrapText="1"/>
    </xf>
    <xf numFmtId="194" fontId="30" fillId="0" borderId="14" xfId="94" applyNumberFormat="1" applyFont="1" applyFill="1" applyBorder="1" applyAlignment="1">
      <alignment horizontal="right"/>
      <protection/>
    </xf>
    <xf numFmtId="0" fontId="27" fillId="0" borderId="14" xfId="112" applyFont="1" applyFill="1" applyBorder="1" applyAlignment="1">
      <alignment horizontal="center"/>
      <protection/>
    </xf>
    <xf numFmtId="4" fontId="27" fillId="17" borderId="14" xfId="0" applyNumberFormat="1" applyFont="1" applyFill="1" applyBorder="1" applyAlignment="1">
      <alignment horizontal="center" vertical="center"/>
    </xf>
    <xf numFmtId="4" fontId="27" fillId="52" borderId="14" xfId="0" applyNumberFormat="1" applyFont="1" applyFill="1" applyBorder="1" applyAlignment="1">
      <alignment horizontal="center" vertical="center"/>
    </xf>
    <xf numFmtId="0" fontId="42" fillId="0" borderId="0" xfId="112" applyFont="1">
      <alignment/>
      <protection/>
    </xf>
    <xf numFmtId="2" fontId="32" fillId="0" borderId="14" xfId="112" applyNumberFormat="1" applyFont="1" applyFill="1" applyBorder="1" applyAlignment="1">
      <alignment horizontal="center"/>
      <protection/>
    </xf>
    <xf numFmtId="0" fontId="43" fillId="0" borderId="14" xfId="112" applyFont="1" applyBorder="1">
      <alignment/>
      <protection/>
    </xf>
    <xf numFmtId="0" fontId="32" fillId="0" borderId="0" xfId="112" applyFont="1">
      <alignment/>
      <protection/>
    </xf>
    <xf numFmtId="0" fontId="36" fillId="0" borderId="0" xfId="112" applyFont="1" applyFill="1">
      <alignment/>
      <protection/>
    </xf>
    <xf numFmtId="0" fontId="36" fillId="0" borderId="14" xfId="112" applyFont="1" applyFill="1" applyBorder="1">
      <alignment/>
      <protection/>
    </xf>
    <xf numFmtId="4" fontId="0" fillId="0" borderId="14" xfId="112" applyNumberFormat="1" applyFont="1" applyFill="1" applyBorder="1">
      <alignment/>
      <protection/>
    </xf>
    <xf numFmtId="4" fontId="0" fillId="0" borderId="0" xfId="112" applyNumberFormat="1" applyFont="1" applyFill="1">
      <alignment/>
      <protection/>
    </xf>
    <xf numFmtId="4" fontId="27" fillId="0" borderId="0" xfId="112" applyNumberFormat="1" applyFont="1">
      <alignment/>
      <protection/>
    </xf>
    <xf numFmtId="4" fontId="41" fillId="0" borderId="14" xfId="0" applyNumberFormat="1" applyFont="1" applyFill="1" applyBorder="1" applyAlignment="1">
      <alignment/>
    </xf>
    <xf numFmtId="4" fontId="33" fillId="54" borderId="14" xfId="107" applyNumberFormat="1" applyFont="1" applyFill="1" applyBorder="1" applyAlignment="1">
      <alignment horizontal="center"/>
      <protection/>
    </xf>
    <xf numFmtId="4" fontId="37" fillId="54" borderId="14" xfId="107" applyNumberFormat="1" applyFont="1" applyFill="1" applyBorder="1" applyAlignment="1">
      <alignment horizontal="center"/>
      <protection/>
    </xf>
    <xf numFmtId="4" fontId="30" fillId="0" borderId="14" xfId="0" applyNumberFormat="1" applyFont="1" applyFill="1" applyBorder="1" applyAlignment="1">
      <alignment/>
    </xf>
    <xf numFmtId="4" fontId="35" fillId="54" borderId="14" xfId="107" applyNumberFormat="1" applyFont="1" applyFill="1" applyBorder="1" applyAlignment="1">
      <alignment horizontal="center"/>
      <protection/>
    </xf>
    <xf numFmtId="0" fontId="33" fillId="0" borderId="14" xfId="0" applyFont="1" applyBorder="1" applyAlignment="1">
      <alignment horizontal="left" vertical="center" wrapText="1"/>
    </xf>
    <xf numFmtId="0" fontId="33" fillId="53" borderId="14" xfId="0" applyFont="1" applyFill="1" applyBorder="1" applyAlignment="1">
      <alignment horizontal="left" vertical="center" wrapText="1"/>
    </xf>
    <xf numFmtId="0" fontId="33" fillId="0" borderId="14" xfId="112" applyFont="1" applyFill="1" applyBorder="1" applyAlignment="1">
      <alignment horizontal="left" vertical="top" wrapText="1"/>
      <protection/>
    </xf>
    <xf numFmtId="4" fontId="28" fillId="0" borderId="14" xfId="112" applyNumberFormat="1" applyFont="1" applyBorder="1">
      <alignment/>
      <protection/>
    </xf>
    <xf numFmtId="4" fontId="27" fillId="54" borderId="14" xfId="0" applyNumberFormat="1" applyFont="1" applyFill="1" applyBorder="1" applyAlignment="1">
      <alignment horizontal="center" vertical="center" wrapText="1"/>
    </xf>
    <xf numFmtId="4" fontId="62" fillId="0" borderId="14" xfId="107" applyNumberFormat="1" applyFont="1" applyFill="1" applyBorder="1" applyAlignment="1">
      <alignment horizontal="center"/>
      <protection/>
    </xf>
    <xf numFmtId="194" fontId="0" fillId="0" borderId="14" xfId="0" applyNumberFormat="1" applyFont="1" applyFill="1" applyBorder="1" applyAlignment="1">
      <alignment horizontal="right" vertical="center"/>
    </xf>
    <xf numFmtId="4" fontId="27" fillId="54" borderId="14" xfId="94" applyNumberFormat="1" applyFont="1" applyFill="1" applyBorder="1" applyAlignment="1">
      <alignment horizontal="center" vertical="center"/>
      <protection/>
    </xf>
    <xf numFmtId="4" fontId="27" fillId="54" borderId="14" xfId="0" applyNumberFormat="1" applyFont="1" applyFill="1" applyBorder="1" applyAlignment="1">
      <alignment horizontal="center" vertical="center"/>
    </xf>
    <xf numFmtId="0" fontId="32" fillId="54" borderId="14" xfId="112" applyFont="1" applyFill="1" applyBorder="1" applyAlignment="1">
      <alignment horizontal="center"/>
      <protection/>
    </xf>
    <xf numFmtId="0" fontId="33" fillId="54" borderId="14" xfId="112" applyFont="1" applyFill="1" applyBorder="1">
      <alignment/>
      <protection/>
    </xf>
    <xf numFmtId="0" fontId="33" fillId="54" borderId="14" xfId="112" applyFont="1" applyFill="1" applyBorder="1" applyAlignment="1">
      <alignment horizontal="left" vertical="top" wrapText="1"/>
      <protection/>
    </xf>
    <xf numFmtId="4" fontId="33" fillId="54" borderId="14" xfId="94" applyNumberFormat="1" applyFont="1" applyFill="1" applyBorder="1" applyAlignment="1">
      <alignment horizontal="center" vertical="center"/>
      <protection/>
    </xf>
    <xf numFmtId="4" fontId="27" fillId="54" borderId="0" xfId="112" applyNumberFormat="1" applyFont="1" applyFill="1">
      <alignment/>
      <protection/>
    </xf>
    <xf numFmtId="0" fontId="0" fillId="54" borderId="0" xfId="112" applyFont="1" applyFill="1">
      <alignment/>
      <protection/>
    </xf>
    <xf numFmtId="4" fontId="63" fillId="0" borderId="14" xfId="107" applyNumberFormat="1" applyFont="1" applyFill="1" applyBorder="1" applyAlignment="1">
      <alignment horizontal="center"/>
      <protection/>
    </xf>
    <xf numFmtId="4" fontId="62" fillId="52" borderId="14" xfId="131" applyNumberFormat="1" applyFont="1" applyFill="1" applyBorder="1" applyAlignment="1">
      <alignment horizontal="center" vertical="center"/>
    </xf>
    <xf numFmtId="4" fontId="62" fillId="54" borderId="14" xfId="107" applyNumberFormat="1" applyFont="1" applyFill="1" applyBorder="1" applyAlignment="1">
      <alignment horizontal="center"/>
      <protection/>
    </xf>
    <xf numFmtId="4" fontId="4" fillId="0" borderId="14" xfId="112" applyNumberFormat="1" applyFont="1" applyBorder="1">
      <alignment/>
      <protection/>
    </xf>
    <xf numFmtId="4" fontId="64" fillId="54" borderId="14" xfId="107" applyNumberFormat="1" applyFont="1" applyFill="1" applyBorder="1" applyAlignment="1">
      <alignment horizontal="center"/>
      <protection/>
    </xf>
    <xf numFmtId="4" fontId="64" fillId="0" borderId="14" xfId="107" applyNumberFormat="1" applyFont="1" applyFill="1" applyBorder="1" applyAlignment="1">
      <alignment horizontal="center"/>
      <protection/>
    </xf>
    <xf numFmtId="194" fontId="27" fillId="54" borderId="14" xfId="0" applyNumberFormat="1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32" fillId="0" borderId="17" xfId="112" applyFont="1" applyBorder="1" applyAlignment="1">
      <alignment horizontal="center" wrapText="1"/>
      <protection/>
    </xf>
    <xf numFmtId="0" fontId="32" fillId="0" borderId="18" xfId="112" applyFont="1" applyBorder="1" applyAlignment="1">
      <alignment horizontal="center" wrapText="1"/>
      <protection/>
    </xf>
    <xf numFmtId="0" fontId="32" fillId="0" borderId="19" xfId="112" applyFont="1" applyBorder="1" applyAlignment="1">
      <alignment horizontal="center" wrapText="1"/>
      <protection/>
    </xf>
    <xf numFmtId="2" fontId="33" fillId="0" borderId="16" xfId="112" applyNumberFormat="1" applyFont="1" applyFill="1" applyBorder="1" applyAlignment="1">
      <alignment horizontal="center"/>
      <protection/>
    </xf>
    <xf numFmtId="2" fontId="33" fillId="0" borderId="20" xfId="112" applyNumberFormat="1" applyFont="1" applyFill="1" applyBorder="1" applyAlignment="1">
      <alignment horizontal="center"/>
      <protection/>
    </xf>
    <xf numFmtId="2" fontId="33" fillId="0" borderId="15" xfId="112" applyNumberFormat="1" applyFont="1" applyFill="1" applyBorder="1" applyAlignment="1">
      <alignment horizontal="center"/>
      <protection/>
    </xf>
    <xf numFmtId="0" fontId="20" fillId="46" borderId="16" xfId="0" applyFont="1" applyFill="1" applyBorder="1" applyAlignment="1">
      <alignment horizontal="center" vertical="center" wrapText="1"/>
    </xf>
    <xf numFmtId="0" fontId="20" fillId="46" borderId="15" xfId="0" applyFont="1" applyFill="1" applyBorder="1" applyAlignment="1">
      <alignment horizontal="center" vertical="center" wrapText="1"/>
    </xf>
    <xf numFmtId="0" fontId="20" fillId="0" borderId="16" xfId="107" applyFont="1" applyFill="1" applyBorder="1" applyAlignment="1">
      <alignment horizontal="center" vertical="center" wrapText="1"/>
      <protection/>
    </xf>
    <xf numFmtId="0" fontId="20" fillId="0" borderId="15" xfId="107" applyFont="1" applyFill="1" applyBorder="1" applyAlignment="1">
      <alignment horizontal="center" vertical="center" wrapText="1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20" fillId="0" borderId="16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32" fillId="0" borderId="17" xfId="112" applyFont="1" applyFill="1" applyBorder="1" applyAlignment="1">
      <alignment horizontal="center" wrapText="1"/>
      <protection/>
    </xf>
    <xf numFmtId="0" fontId="32" fillId="0" borderId="18" xfId="112" applyFont="1" applyFill="1" applyBorder="1" applyAlignment="1">
      <alignment horizontal="center" wrapText="1"/>
      <protection/>
    </xf>
    <xf numFmtId="0" fontId="32" fillId="0" borderId="19" xfId="112" applyFont="1" applyFill="1" applyBorder="1" applyAlignment="1">
      <alignment horizontal="center" wrapText="1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4" xfId="112" applyFont="1" applyBorder="1" applyAlignment="1">
      <alignment horizontal="center" vertical="center"/>
      <protection/>
    </xf>
    <xf numFmtId="0" fontId="31" fillId="0" borderId="0" xfId="112" applyFont="1" applyAlignment="1">
      <alignment horizontal="center"/>
      <protection/>
    </xf>
    <xf numFmtId="0" fontId="31" fillId="0" borderId="0" xfId="112" applyFont="1" applyAlignment="1">
      <alignment horizontal="center" wrapText="1"/>
      <protection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Финансовый_дод 8 до бюджету 2012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"/>
  <sheetViews>
    <sheetView tabSelected="1" view="pageBreakPreview" zoomScale="76" zoomScaleNormal="67" zoomScaleSheetLayoutView="76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AI17" sqref="AI17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4.16015625" style="2" hidden="1" customWidth="1"/>
    <col min="10" max="10" width="23.66015625" style="2" customWidth="1"/>
    <col min="11" max="11" width="20.5" style="19" hidden="1" customWidth="1"/>
    <col min="12" max="12" width="17" style="2" hidden="1" customWidth="1"/>
    <col min="13" max="13" width="27.33203125" style="2" hidden="1" customWidth="1"/>
    <col min="14" max="14" width="15.5" style="2" hidden="1" customWidth="1"/>
    <col min="15" max="15" width="15" style="2" hidden="1" customWidth="1"/>
    <col min="16" max="16" width="17.83203125" style="2" hidden="1" customWidth="1"/>
    <col min="17" max="17" width="19.5" style="2" hidden="1" customWidth="1"/>
    <col min="18" max="18" width="16.83203125" style="2" hidden="1" customWidth="1"/>
    <col min="19" max="19" width="16.66015625" style="2" hidden="1" customWidth="1"/>
    <col min="20" max="20" width="17.66015625" style="2" hidden="1" customWidth="1"/>
    <col min="21" max="21" width="17" style="2" hidden="1" customWidth="1"/>
    <col min="22" max="22" width="17.33203125" style="2" hidden="1" customWidth="1"/>
    <col min="23" max="23" width="16" style="2" hidden="1" customWidth="1"/>
    <col min="24" max="24" width="16.5" style="2" hidden="1" customWidth="1"/>
    <col min="25" max="25" width="17" style="2" hidden="1" customWidth="1"/>
    <col min="26" max="26" width="18.83203125" style="2" hidden="1" customWidth="1"/>
    <col min="27" max="27" width="15.33203125" style="2" hidden="1" customWidth="1"/>
    <col min="28" max="31" width="9.33203125" style="2" customWidth="1"/>
    <col min="32" max="16384" width="9.33203125" style="2" customWidth="1"/>
  </cols>
  <sheetData>
    <row r="1" spans="4:7" ht="74.25" customHeight="1" hidden="1">
      <c r="D1" s="119" t="s">
        <v>13</v>
      </c>
      <c r="E1" s="120"/>
      <c r="F1" s="24"/>
      <c r="G1" s="24"/>
    </row>
    <row r="2" spans="3:7" ht="39.75" customHeight="1">
      <c r="C2" s="65"/>
      <c r="D2" s="35"/>
      <c r="E2" s="24"/>
      <c r="F2" s="24"/>
      <c r="G2" s="24"/>
    </row>
    <row r="3" spans="1:10" ht="21" customHeight="1">
      <c r="A3" s="122" t="s">
        <v>14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0" ht="20.25" customHeight="1">
      <c r="A4" s="123" t="s">
        <v>40</v>
      </c>
      <c r="B4" s="123"/>
      <c r="C4" s="123"/>
      <c r="D4" s="123"/>
      <c r="E4" s="123"/>
      <c r="F4" s="123"/>
      <c r="G4" s="123"/>
      <c r="H4" s="123"/>
      <c r="I4" s="123"/>
      <c r="J4" s="123"/>
    </row>
    <row r="5" spans="1:14" ht="20.25" customHeight="1">
      <c r="A5" s="25"/>
      <c r="B5" s="25"/>
      <c r="C5" s="25"/>
      <c r="D5" s="25"/>
      <c r="E5" s="25"/>
      <c r="F5" s="25"/>
      <c r="G5" s="25"/>
      <c r="N5" s="68"/>
    </row>
    <row r="6" spans="3:10" ht="13.5" customHeight="1">
      <c r="C6" s="4"/>
      <c r="D6" s="3"/>
      <c r="E6" s="12"/>
      <c r="F6" s="12"/>
      <c r="G6" s="12"/>
      <c r="J6" s="12" t="s">
        <v>21</v>
      </c>
    </row>
    <row r="7" spans="1:11" ht="12" customHeight="1">
      <c r="A7" s="121" t="s">
        <v>3</v>
      </c>
      <c r="B7" s="13"/>
      <c r="C7" s="121" t="s">
        <v>0</v>
      </c>
      <c r="D7" s="113" t="s">
        <v>1</v>
      </c>
      <c r="E7" s="113" t="s">
        <v>16</v>
      </c>
      <c r="F7" s="113" t="s">
        <v>37</v>
      </c>
      <c r="G7" s="14" t="s">
        <v>38</v>
      </c>
      <c r="H7" s="111" t="s">
        <v>113</v>
      </c>
      <c r="I7" s="14" t="s">
        <v>38</v>
      </c>
      <c r="J7" s="101" t="s">
        <v>2</v>
      </c>
      <c r="K7" s="114" t="s">
        <v>104</v>
      </c>
    </row>
    <row r="8" spans="1:26" ht="39.75" customHeight="1">
      <c r="A8" s="121"/>
      <c r="B8" s="1" t="s">
        <v>17</v>
      </c>
      <c r="C8" s="121"/>
      <c r="D8" s="113"/>
      <c r="E8" s="113"/>
      <c r="F8" s="113"/>
      <c r="G8" s="49" t="s">
        <v>39</v>
      </c>
      <c r="H8" s="112"/>
      <c r="I8" s="49" t="s">
        <v>112</v>
      </c>
      <c r="J8" s="102"/>
      <c r="K8" s="115"/>
      <c r="M8" s="109" t="s">
        <v>105</v>
      </c>
      <c r="N8" s="101" t="s">
        <v>22</v>
      </c>
      <c r="O8" s="114" t="s">
        <v>23</v>
      </c>
      <c r="P8" s="101" t="s">
        <v>24</v>
      </c>
      <c r="Q8" s="101" t="s">
        <v>25</v>
      </c>
      <c r="R8" s="101" t="s">
        <v>26</v>
      </c>
      <c r="S8" s="101" t="s">
        <v>27</v>
      </c>
      <c r="T8" s="101" t="s">
        <v>28</v>
      </c>
      <c r="U8" s="101" t="s">
        <v>29</v>
      </c>
      <c r="V8" s="101" t="s">
        <v>30</v>
      </c>
      <c r="W8" s="101" t="s">
        <v>31</v>
      </c>
      <c r="X8" s="101" t="s">
        <v>32</v>
      </c>
      <c r="Y8" s="101" t="s">
        <v>33</v>
      </c>
      <c r="Z8" s="101" t="s">
        <v>34</v>
      </c>
    </row>
    <row r="9" spans="1:26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/>
      <c r="J9" s="14">
        <v>8</v>
      </c>
      <c r="K9" s="62">
        <v>9</v>
      </c>
      <c r="M9" s="110"/>
      <c r="N9" s="102"/>
      <c r="O9" s="115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</row>
    <row r="10" spans="1:26" s="15" customFormat="1" ht="19.5" customHeight="1">
      <c r="A10" s="103" t="s">
        <v>5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5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7" ht="18">
      <c r="A11" s="5">
        <v>1</v>
      </c>
      <c r="B11" s="6"/>
      <c r="C11" s="7" t="s">
        <v>4</v>
      </c>
      <c r="D11" s="8">
        <f>D12+D28</f>
        <v>186569323.43</v>
      </c>
      <c r="E11" s="8">
        <f>E12+E28</f>
        <v>148446387.97</v>
      </c>
      <c r="F11" s="8">
        <f>F12+F28</f>
        <v>38122935.45999999</v>
      </c>
      <c r="G11" s="8">
        <f>G12+G28</f>
        <v>38105446.95999999</v>
      </c>
      <c r="H11" s="8">
        <f>H12+H28</f>
        <v>84270519.62</v>
      </c>
      <c r="I11" s="8"/>
      <c r="J11" s="38">
        <f aca="true" t="shared" si="0" ref="J11:J19">H11/D11*100</f>
        <v>45.16847575513556</v>
      </c>
      <c r="K11" s="38">
        <f>(H11/(N11+O11+P11+Q11+R11+O28+P28+Q28+R28))*100</f>
        <v>92.9771959046801</v>
      </c>
      <c r="L11" s="73"/>
      <c r="M11" s="46">
        <f>N11+O11+P11+Q11+R11-H12</f>
        <v>2378797.9099999815</v>
      </c>
      <c r="N11" s="43">
        <f aca="true" t="shared" si="1" ref="N11:Y11">N12+N20</f>
        <v>3100000</v>
      </c>
      <c r="O11" s="43">
        <f t="shared" si="1"/>
        <v>17854577.81</v>
      </c>
      <c r="P11" s="43">
        <f t="shared" si="1"/>
        <v>7924843.79</v>
      </c>
      <c r="Q11" s="43">
        <f t="shared" si="1"/>
        <v>18365668.33</v>
      </c>
      <c r="R11" s="43">
        <f t="shared" si="1"/>
        <v>33639754.55</v>
      </c>
      <c r="S11" s="43">
        <f t="shared" si="1"/>
        <v>9217441.55</v>
      </c>
      <c r="T11" s="43">
        <f t="shared" si="1"/>
        <v>15096201.459999999</v>
      </c>
      <c r="U11" s="43">
        <f t="shared" si="1"/>
        <v>18720000</v>
      </c>
      <c r="V11" s="43">
        <f t="shared" si="1"/>
        <v>9519322.28</v>
      </c>
      <c r="W11" s="43">
        <f t="shared" si="1"/>
        <v>5820000</v>
      </c>
      <c r="X11" s="43">
        <f t="shared" si="1"/>
        <v>4720000</v>
      </c>
      <c r="Y11" s="43">
        <f t="shared" si="1"/>
        <v>4486066.7</v>
      </c>
      <c r="Z11" s="44">
        <f>SUM(N11:Y11)</f>
        <v>148463876.46999997</v>
      </c>
      <c r="AA11" s="45">
        <f>Z11-D12</f>
        <v>0</v>
      </c>
    </row>
    <row r="12" spans="1:27" ht="18">
      <c r="A12" s="9"/>
      <c r="B12" s="10"/>
      <c r="C12" s="36" t="s">
        <v>6</v>
      </c>
      <c r="D12" s="37">
        <f>SUM(D13:D19)+D20</f>
        <v>148463876.47</v>
      </c>
      <c r="E12" s="37">
        <f>SUM(E13:E19)+E20</f>
        <v>148446387.97</v>
      </c>
      <c r="F12" s="37">
        <f>F20</f>
        <v>17488.5</v>
      </c>
      <c r="G12" s="37"/>
      <c r="H12" s="37">
        <f>H13+H16+H17+H18+H20+H19</f>
        <v>78506046.57000001</v>
      </c>
      <c r="I12" s="37"/>
      <c r="J12" s="51">
        <f t="shared" si="0"/>
        <v>52.87888773796343</v>
      </c>
      <c r="K12" s="66">
        <f>(H12/(N11+O11+P11+Q11+R11))*100</f>
        <v>97.05903136082783</v>
      </c>
      <c r="L12" s="73"/>
      <c r="M12" s="42">
        <f>(N12+O12+P12+Q12+R12)-(H13+H16+H17+H18)</f>
        <v>6414335.230000004</v>
      </c>
      <c r="N12" s="74">
        <f>1064334-964334</f>
        <v>100000</v>
      </c>
      <c r="O12" s="74">
        <f>1950000+964334</f>
        <v>2914334</v>
      </c>
      <c r="P12" s="74">
        <f>3584500-2065000</f>
        <v>1519500</v>
      </c>
      <c r="Q12" s="74">
        <f>13117886-2661695-1991000</f>
        <v>8465191</v>
      </c>
      <c r="R12" s="74">
        <f>13020000-739839.28+3000000+4585000+2400000+6000000</f>
        <v>28265160.72</v>
      </c>
      <c r="S12" s="74">
        <f>13020000+2065000+2661695-115412-3000000-1385000-2400000-6000000</f>
        <v>4846283</v>
      </c>
      <c r="T12" s="74">
        <f>12255666+155839.28-3200000</f>
        <v>9211505.28</v>
      </c>
      <c r="U12" s="74">
        <f>12020000</f>
        <v>12020000</v>
      </c>
      <c r="V12" s="74">
        <f>420000+2575000</f>
        <v>2995000</v>
      </c>
      <c r="W12" s="74">
        <v>420000</v>
      </c>
      <c r="X12" s="74">
        <v>420000</v>
      </c>
      <c r="Y12" s="74">
        <v>420000</v>
      </c>
      <c r="Z12" s="42">
        <f>SUM(N12:Y12)</f>
        <v>71596974</v>
      </c>
      <c r="AA12" s="45"/>
    </row>
    <row r="13" spans="1:27" ht="17.25" customHeight="1">
      <c r="A13" s="9"/>
      <c r="B13" s="10"/>
      <c r="C13" s="16" t="s">
        <v>7</v>
      </c>
      <c r="D13" s="75">
        <f>E13</f>
        <v>49982474</v>
      </c>
      <c r="E13" s="17">
        <f>27097886-5000000+28000000-115412</f>
        <v>49982474</v>
      </c>
      <c r="F13" s="17"/>
      <c r="G13" s="17"/>
      <c r="H13" s="17">
        <f>4629258.74+5020395.05+4492589.01+3540712.28+2997759.26+9002748.95</f>
        <v>29683463.289999995</v>
      </c>
      <c r="I13" s="17"/>
      <c r="J13" s="17">
        <f t="shared" si="0"/>
        <v>59.38774317173655</v>
      </c>
      <c r="K13" s="106">
        <f>((H13+H16+H17+H18+H19)/(N12+O12+P12+Q12+R12))*100</f>
        <v>96.58299676729935</v>
      </c>
      <c r="L13" s="7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42">
        <f>SUM(N13:Y13)</f>
        <v>0</v>
      </c>
      <c r="AA13" s="45"/>
    </row>
    <row r="14" spans="1:27" ht="18.75" customHeight="1" hidden="1">
      <c r="A14" s="9"/>
      <c r="B14" s="10"/>
      <c r="C14" s="16" t="s">
        <v>8</v>
      </c>
      <c r="D14" s="75">
        <f aca="true" t="shared" si="2" ref="D14:D19">E14</f>
        <v>0</v>
      </c>
      <c r="E14" s="17">
        <f>1500003-1500003</f>
        <v>0</v>
      </c>
      <c r="F14" s="17"/>
      <c r="G14" s="17"/>
      <c r="H14" s="13"/>
      <c r="I14" s="13"/>
      <c r="J14" s="17" t="e">
        <f t="shared" si="0"/>
        <v>#DIV/0!</v>
      </c>
      <c r="K14" s="107"/>
      <c r="L14" s="7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42">
        <f>SUM(N14:Y14)</f>
        <v>0</v>
      </c>
      <c r="AA14" s="45"/>
    </row>
    <row r="15" spans="1:27" ht="18.75" customHeight="1" hidden="1">
      <c r="A15" s="9"/>
      <c r="B15" s="10"/>
      <c r="C15" s="16" t="s">
        <v>9</v>
      </c>
      <c r="D15" s="75">
        <f t="shared" si="2"/>
        <v>0</v>
      </c>
      <c r="E15" s="17">
        <f>2600002-2600002</f>
        <v>0</v>
      </c>
      <c r="F15" s="17"/>
      <c r="G15" s="17"/>
      <c r="H15" s="13"/>
      <c r="I15" s="13"/>
      <c r="J15" s="17" t="e">
        <f t="shared" si="0"/>
        <v>#DIV/0!</v>
      </c>
      <c r="K15" s="107"/>
      <c r="L15" s="7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42">
        <f>SUM(N15:Y15)</f>
        <v>0</v>
      </c>
      <c r="AA15" s="45"/>
    </row>
    <row r="16" spans="1:27" s="19" customFormat="1" ht="18">
      <c r="A16" s="9"/>
      <c r="B16" s="18"/>
      <c r="C16" s="16" t="s">
        <v>10</v>
      </c>
      <c r="D16" s="75">
        <f t="shared" si="2"/>
        <v>6300000</v>
      </c>
      <c r="E16" s="17">
        <f>8100000-1800000</f>
        <v>6300000</v>
      </c>
      <c r="F16" s="17"/>
      <c r="G16" s="17"/>
      <c r="H16" s="17">
        <f>20170.53+77484.56+85678.89+122168.24+192086.34+54904.58+45760.47+58368.76+198912.64+60311.08+198083.99+128752.53+1422196.2+197107.57+156906.83+178881.99</f>
        <v>3197775.1999999993</v>
      </c>
      <c r="I16" s="17"/>
      <c r="J16" s="17">
        <f t="shared" si="0"/>
        <v>50.7583365079365</v>
      </c>
      <c r="K16" s="107"/>
      <c r="L16" s="73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2"/>
      <c r="AA16" s="45"/>
    </row>
    <row r="17" spans="1:27" ht="18">
      <c r="A17" s="9"/>
      <c r="B17" s="10"/>
      <c r="C17" s="16" t="s">
        <v>15</v>
      </c>
      <c r="D17" s="75">
        <f t="shared" si="2"/>
        <v>4900000</v>
      </c>
      <c r="E17" s="17">
        <f>6000002-1100002</f>
        <v>4900000</v>
      </c>
      <c r="F17" s="17"/>
      <c r="G17" s="17"/>
      <c r="H17" s="17">
        <f>376653+339083+417231+416958+418687</f>
        <v>1968612</v>
      </c>
      <c r="I17" s="17"/>
      <c r="J17" s="17">
        <f t="shared" si="0"/>
        <v>40.17575510204082</v>
      </c>
      <c r="K17" s="107"/>
      <c r="L17" s="7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42"/>
      <c r="AA17" s="45"/>
    </row>
    <row r="18" spans="1:27" ht="36.75" customHeight="1">
      <c r="A18" s="9"/>
      <c r="B18" s="10"/>
      <c r="C18" s="16" t="s">
        <v>11</v>
      </c>
      <c r="D18" s="75">
        <f t="shared" si="2"/>
        <v>250000</v>
      </c>
      <c r="E18" s="17">
        <v>250000</v>
      </c>
      <c r="F18" s="17"/>
      <c r="G18" s="17"/>
      <c r="H18" s="17"/>
      <c r="I18" s="17"/>
      <c r="J18" s="84">
        <f t="shared" si="0"/>
        <v>0</v>
      </c>
      <c r="K18" s="107"/>
      <c r="L18" s="73"/>
      <c r="M18" s="67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42"/>
      <c r="AA18" s="45"/>
    </row>
    <row r="19" spans="1:27" ht="18">
      <c r="A19" s="9"/>
      <c r="B19" s="10"/>
      <c r="C19" s="16" t="s">
        <v>41</v>
      </c>
      <c r="D19" s="75">
        <f t="shared" si="2"/>
        <v>10164500</v>
      </c>
      <c r="E19" s="17">
        <f>20164500+11000000-21000000</f>
        <v>10164500</v>
      </c>
      <c r="F19" s="17"/>
      <c r="G19" s="17"/>
      <c r="H19" s="17">
        <f>587301.68+610841.84+234673.88+967595.81+1247319.32+1356604.14</f>
        <v>5004336.67</v>
      </c>
      <c r="I19" s="17"/>
      <c r="J19" s="17">
        <f t="shared" si="0"/>
        <v>49.23347601947956</v>
      </c>
      <c r="K19" s="108"/>
      <c r="L19" s="7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42">
        <f aca="true" t="shared" si="3" ref="Z19:Z27">SUM(N19:Y19)</f>
        <v>0</v>
      </c>
      <c r="AA19" s="45"/>
    </row>
    <row r="20" spans="1:27" s="34" customFormat="1" ht="36">
      <c r="A20" s="30"/>
      <c r="B20" s="31"/>
      <c r="C20" s="32" t="s">
        <v>18</v>
      </c>
      <c r="D20" s="76">
        <f>E20+F20</f>
        <v>76866902.47</v>
      </c>
      <c r="E20" s="33">
        <f>SUM(E21:E27)</f>
        <v>76849413.97</v>
      </c>
      <c r="F20" s="33">
        <f>SUM(F21:F27)</f>
        <v>17488.5</v>
      </c>
      <c r="G20" s="33"/>
      <c r="H20" s="33">
        <f>SUM(H21:H27)</f>
        <v>38651859.41000001</v>
      </c>
      <c r="I20" s="33"/>
      <c r="J20" s="33">
        <f>H20/D20*100</f>
        <v>50.28413812444863</v>
      </c>
      <c r="K20" s="106">
        <f>(H20/(N20+O20+P20+Q20+R20))*100</f>
        <v>97.55481261463007</v>
      </c>
      <c r="L20" s="73"/>
      <c r="M20" s="42">
        <f>(N20+O20+P20+Q20+R20)-(H20)</f>
        <v>968799.3499999866</v>
      </c>
      <c r="N20" s="74">
        <v>3000000</v>
      </c>
      <c r="O20" s="74">
        <f>5940243.81+9000000</f>
        <v>14940243.809999999</v>
      </c>
      <c r="P20" s="74">
        <f>5940343.79-1600000+2065000</f>
        <v>6405343.79</v>
      </c>
      <c r="Q20" s="74">
        <f>5821293.83-1600000+17488.5+5661695</f>
        <v>9900477.33</v>
      </c>
      <c r="R20" s="74">
        <f>10274593.83-5800000+900000</f>
        <v>5374593.83</v>
      </c>
      <c r="S20" s="74">
        <f>9097853.55-2065000-2661695</f>
        <v>4371158.550000001</v>
      </c>
      <c r="T20" s="77">
        <f>7537996.18+1346700-3000000</f>
        <v>5884696.18</v>
      </c>
      <c r="U20" s="77">
        <f>3600000+4000000-900000</f>
        <v>6700000</v>
      </c>
      <c r="V20" s="77">
        <f>2203922.28+2000000+2000000+200000+120000+400</f>
        <v>6524322.279999999</v>
      </c>
      <c r="W20" s="74">
        <f>1400000+4000000</f>
        <v>5400000</v>
      </c>
      <c r="X20" s="74">
        <f>1300000+2000000+1000000</f>
        <v>4300000</v>
      </c>
      <c r="Y20" s="74">
        <f>1390000+1576066.7+1000000+100000</f>
        <v>4066066.7</v>
      </c>
      <c r="Z20" s="42">
        <f t="shared" si="3"/>
        <v>76866902.47000001</v>
      </c>
      <c r="AA20" s="45">
        <f>Z20-D20</f>
        <v>0</v>
      </c>
    </row>
    <row r="21" spans="1:27" s="29" customFormat="1" ht="18" customHeight="1">
      <c r="A21" s="26"/>
      <c r="B21" s="27"/>
      <c r="C21" s="20" t="s">
        <v>7</v>
      </c>
      <c r="D21" s="78">
        <f aca="true" t="shared" si="4" ref="D21:D27">E21</f>
        <v>28514898.64</v>
      </c>
      <c r="E21" s="21">
        <f>5000000+23514898.64</f>
        <v>28514898.64</v>
      </c>
      <c r="F21" s="51"/>
      <c r="G21" s="21"/>
      <c r="H21" s="21">
        <f>114006+331998.76+56510+62873+238344.54+631419+2322586+34370.27+174613.37+50308+391732.05+635171.2+12380+1096281.67+693893.52+198099.96+721502.98+324544.8+1576211.5+82613.98+229195.95+19491.07+210939.98</f>
        <v>10209087.600000001</v>
      </c>
      <c r="I21" s="21"/>
      <c r="J21" s="21">
        <f aca="true" t="shared" si="5" ref="J21:J27">H21/D21*100</f>
        <v>35.802643835033464</v>
      </c>
      <c r="K21" s="107"/>
      <c r="L21" s="73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2">
        <f t="shared" si="3"/>
        <v>0</v>
      </c>
      <c r="AA21" s="45"/>
    </row>
    <row r="22" spans="1:27" s="29" customFormat="1" ht="18">
      <c r="A22" s="26"/>
      <c r="B22" s="27"/>
      <c r="C22" s="20" t="s">
        <v>8</v>
      </c>
      <c r="D22" s="78">
        <f t="shared" si="4"/>
        <v>1500003</v>
      </c>
      <c r="E22" s="21">
        <f>1500003</f>
        <v>1500003</v>
      </c>
      <c r="F22" s="51"/>
      <c r="G22" s="21"/>
      <c r="H22" s="21"/>
      <c r="I22" s="21"/>
      <c r="J22" s="94">
        <f t="shared" si="5"/>
        <v>0</v>
      </c>
      <c r="K22" s="107"/>
      <c r="L22" s="73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2">
        <f t="shared" si="3"/>
        <v>0</v>
      </c>
      <c r="AA22" s="45"/>
    </row>
    <row r="23" spans="1:27" s="29" customFormat="1" ht="18">
      <c r="A23" s="26"/>
      <c r="B23" s="27"/>
      <c r="C23" s="20" t="s">
        <v>9</v>
      </c>
      <c r="D23" s="78">
        <f t="shared" si="4"/>
        <v>2600002</v>
      </c>
      <c r="E23" s="21">
        <f>2600002</f>
        <v>2600002</v>
      </c>
      <c r="F23" s="51"/>
      <c r="G23" s="21"/>
      <c r="H23" s="21"/>
      <c r="I23" s="21"/>
      <c r="J23" s="94">
        <f t="shared" si="5"/>
        <v>0</v>
      </c>
      <c r="K23" s="107"/>
      <c r="L23" s="73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2">
        <f t="shared" si="3"/>
        <v>0</v>
      </c>
      <c r="AA23" s="45"/>
    </row>
    <row r="24" spans="1:27" s="69" customFormat="1" ht="18">
      <c r="A24" s="26"/>
      <c r="B24" s="57"/>
      <c r="C24" s="20" t="s">
        <v>42</v>
      </c>
      <c r="D24" s="78">
        <f t="shared" si="4"/>
        <v>1800000</v>
      </c>
      <c r="E24" s="21">
        <f>1800000</f>
        <v>1800000</v>
      </c>
      <c r="F24" s="51"/>
      <c r="G24" s="21"/>
      <c r="H24" s="21">
        <f>17849.82+141510.94+60763+146073+27939.59+150726.82+46506.53+48541.36+54928.87</f>
        <v>694839.93</v>
      </c>
      <c r="I24" s="21"/>
      <c r="J24" s="21">
        <f t="shared" si="5"/>
        <v>38.60221833333334</v>
      </c>
      <c r="K24" s="107"/>
      <c r="L24" s="73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1">
        <f t="shared" si="3"/>
        <v>0</v>
      </c>
      <c r="AA24" s="72"/>
    </row>
    <row r="25" spans="1:27" s="29" customFormat="1" ht="18">
      <c r="A25" s="26"/>
      <c r="B25" s="27"/>
      <c r="C25" s="28" t="s">
        <v>19</v>
      </c>
      <c r="D25" s="78">
        <f t="shared" si="4"/>
        <v>4400007</v>
      </c>
      <c r="E25" s="21">
        <f>5400007-1000000</f>
        <v>4400007</v>
      </c>
      <c r="F25" s="51"/>
      <c r="G25" s="21"/>
      <c r="H25" s="21">
        <f>118097.53</f>
        <v>118097.53</v>
      </c>
      <c r="I25" s="21"/>
      <c r="J25" s="21">
        <f t="shared" si="5"/>
        <v>2.6840305026787457</v>
      </c>
      <c r="K25" s="107"/>
      <c r="L25" s="73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2">
        <f t="shared" si="3"/>
        <v>0</v>
      </c>
      <c r="AA25" s="45"/>
    </row>
    <row r="26" spans="1:27" s="29" customFormat="1" ht="18">
      <c r="A26" s="26"/>
      <c r="B26" s="27"/>
      <c r="C26" s="20" t="s">
        <v>15</v>
      </c>
      <c r="D26" s="78">
        <f>E26+F26</f>
        <v>1517490.5</v>
      </c>
      <c r="E26" s="21">
        <f>1100002+400000</f>
        <v>1500002</v>
      </c>
      <c r="F26" s="21">
        <f>17488.5</f>
        <v>17488.5</v>
      </c>
      <c r="G26" s="21"/>
      <c r="H26" s="21">
        <f>196020+197666.43+2126+26523.36+17240.18</f>
        <v>439575.97</v>
      </c>
      <c r="I26" s="21">
        <v>17240.18</v>
      </c>
      <c r="J26" s="21">
        <f t="shared" si="5"/>
        <v>28.9672963356278</v>
      </c>
      <c r="K26" s="107"/>
      <c r="L26" s="73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2">
        <f t="shared" si="3"/>
        <v>0</v>
      </c>
      <c r="AA26" s="45"/>
    </row>
    <row r="27" spans="1:27" s="29" customFormat="1" ht="54">
      <c r="A27" s="26"/>
      <c r="B27" s="27"/>
      <c r="C27" s="20" t="s">
        <v>20</v>
      </c>
      <c r="D27" s="78">
        <f t="shared" si="4"/>
        <v>36534501.33</v>
      </c>
      <c r="E27" s="21">
        <f>21000000+15534501.33</f>
        <v>36534501.33</v>
      </c>
      <c r="F27" s="51"/>
      <c r="G27" s="21"/>
      <c r="H27" s="21">
        <f>439827.18+2395357.39+26270+871602.96+519637+3866925.55+2570843.13+6291287.73+673745+651690+28388.01+273424.88+202223.55+934708.54+147500+3092371.24+405562.53+900173.68+1741760.42+275726.27+10927.06+55500.7+110823.39+344354.57+115698.8+231209.96+12718.84</f>
        <v>27190258.380000006</v>
      </c>
      <c r="I27" s="21"/>
      <c r="J27" s="21">
        <f t="shared" si="5"/>
        <v>74.42351035368576</v>
      </c>
      <c r="K27" s="108"/>
      <c r="L27" s="73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2">
        <f t="shared" si="3"/>
        <v>0</v>
      </c>
      <c r="AA27" s="45"/>
    </row>
    <row r="28" spans="1:27" ht="18">
      <c r="A28" s="26"/>
      <c r="B28" s="27"/>
      <c r="C28" s="50" t="s">
        <v>35</v>
      </c>
      <c r="D28" s="51">
        <f>E28+F28</f>
        <v>38105446.95999999</v>
      </c>
      <c r="E28" s="21"/>
      <c r="F28" s="51">
        <f>G28</f>
        <v>38105446.95999999</v>
      </c>
      <c r="G28" s="51">
        <f>SUM(G29:G80)</f>
        <v>38105446.95999999</v>
      </c>
      <c r="H28" s="51">
        <f>SUM(H29:H80)</f>
        <v>5764473.05</v>
      </c>
      <c r="I28" s="51"/>
      <c r="J28" s="51">
        <f>H28/D28*100</f>
        <v>15.127687797629235</v>
      </c>
      <c r="K28" s="66">
        <f>(H28/(N28+O28+P28+Q28+R28))*100</f>
        <v>59.11769619998031</v>
      </c>
      <c r="L28" s="73"/>
      <c r="M28" s="47">
        <f>(N28+O28+P28+Q28+R28)-H28</f>
        <v>3986368.7800000003</v>
      </c>
      <c r="N28" s="82">
        <f>SUM(N29:N80)</f>
        <v>0</v>
      </c>
      <c r="O28" s="82">
        <f aca="true" t="shared" si="6" ref="O28:Y28">SUM(O29:O80)</f>
        <v>750000</v>
      </c>
      <c r="P28" s="82">
        <f t="shared" si="6"/>
        <v>2990870.83</v>
      </c>
      <c r="Q28" s="82">
        <f t="shared" si="6"/>
        <v>5357943</v>
      </c>
      <c r="R28" s="82">
        <f t="shared" si="6"/>
        <v>652028</v>
      </c>
      <c r="S28" s="82">
        <f t="shared" si="6"/>
        <v>1600000</v>
      </c>
      <c r="T28" s="82">
        <f t="shared" si="6"/>
        <v>5410091.43</v>
      </c>
      <c r="U28" s="82">
        <f t="shared" si="6"/>
        <v>6707545.57</v>
      </c>
      <c r="V28" s="82">
        <f t="shared" si="6"/>
        <v>408334</v>
      </c>
      <c r="W28" s="82">
        <f t="shared" si="6"/>
        <v>7528986</v>
      </c>
      <c r="X28" s="82">
        <f t="shared" si="6"/>
        <v>3996825.87</v>
      </c>
      <c r="Y28" s="82">
        <f t="shared" si="6"/>
        <v>2702822.26</v>
      </c>
      <c r="Z28" s="42">
        <f>SUM(N28:Y28)</f>
        <v>38105446.95999999</v>
      </c>
      <c r="AA28" s="45">
        <f>Z28-D28</f>
        <v>0</v>
      </c>
    </row>
    <row r="29" spans="1:27" ht="36">
      <c r="A29" s="26"/>
      <c r="B29" s="27"/>
      <c r="C29" s="79" t="s">
        <v>43</v>
      </c>
      <c r="D29" s="17">
        <f>E29+F29</f>
        <v>1500000</v>
      </c>
      <c r="E29" s="21"/>
      <c r="F29" s="53">
        <f aca="true" t="shared" si="7" ref="F29:F67">G29</f>
        <v>1500000</v>
      </c>
      <c r="G29" s="53">
        <v>1500000</v>
      </c>
      <c r="H29" s="53">
        <f>59000+29060</f>
        <v>88060</v>
      </c>
      <c r="I29" s="53"/>
      <c r="J29" s="17">
        <f>H29/D29*100</f>
        <v>5.870666666666667</v>
      </c>
      <c r="K29" s="48">
        <f>(H29/(N29+O29+P29+Q29+R29))*100</f>
        <v>5.870666666666667</v>
      </c>
      <c r="L29" s="73"/>
      <c r="M29" s="42">
        <f>(N29+O29+P29+Q29+R29)-H29</f>
        <v>1411940</v>
      </c>
      <c r="N29" s="83"/>
      <c r="O29" s="83">
        <v>750000</v>
      </c>
      <c r="P29" s="83">
        <v>750000</v>
      </c>
      <c r="Q29" s="83"/>
      <c r="R29" s="83"/>
      <c r="S29" s="83"/>
      <c r="T29" s="83"/>
      <c r="U29" s="83"/>
      <c r="V29" s="83"/>
      <c r="W29" s="83"/>
      <c r="X29" s="83"/>
      <c r="Y29" s="83"/>
      <c r="Z29" s="42">
        <f>SUM(N29:Y29)</f>
        <v>1500000</v>
      </c>
      <c r="AA29" s="45">
        <f aca="true" t="shared" si="8" ref="AA29:AA93">Z29-D29</f>
        <v>0</v>
      </c>
    </row>
    <row r="30" spans="1:27" ht="18">
      <c r="A30" s="26"/>
      <c r="B30" s="27"/>
      <c r="C30" s="81" t="s">
        <v>45</v>
      </c>
      <c r="D30" s="17">
        <f aca="true" t="shared" si="9" ref="D30:D67">F30</f>
        <v>300000</v>
      </c>
      <c r="E30" s="17"/>
      <c r="F30" s="17">
        <f t="shared" si="7"/>
        <v>300000</v>
      </c>
      <c r="G30" s="17">
        <v>300000</v>
      </c>
      <c r="H30" s="53"/>
      <c r="I30" s="53"/>
      <c r="J30" s="84">
        <f aca="true" t="shared" si="10" ref="J30:J80">H30/D30*100</f>
        <v>0</v>
      </c>
      <c r="K30" s="48">
        <f aca="true" t="shared" si="11" ref="K30:K80">(H30/(N30+O30+P30+Q30+R30))*100</f>
        <v>0</v>
      </c>
      <c r="L30" s="73"/>
      <c r="M30" s="42">
        <f aca="true" t="shared" si="12" ref="M30:M80">(N30+O30+P30+Q30+R30)-H30</f>
        <v>100000</v>
      </c>
      <c r="N30" s="83"/>
      <c r="O30" s="83"/>
      <c r="P30" s="83"/>
      <c r="Q30" s="83">
        <v>100000</v>
      </c>
      <c r="R30" s="83"/>
      <c r="S30" s="83">
        <v>100000</v>
      </c>
      <c r="T30" s="83">
        <v>100000</v>
      </c>
      <c r="U30" s="83"/>
      <c r="V30" s="83"/>
      <c r="W30" s="83"/>
      <c r="X30" s="83"/>
      <c r="Y30" s="83"/>
      <c r="Z30" s="42">
        <f aca="true" t="shared" si="13" ref="Z30:Z94">SUM(N30:Y30)</f>
        <v>300000</v>
      </c>
      <c r="AA30" s="45">
        <f t="shared" si="8"/>
        <v>0</v>
      </c>
    </row>
    <row r="31" spans="1:27" ht="18">
      <c r="A31" s="26"/>
      <c r="B31" s="27"/>
      <c r="C31" s="81" t="s">
        <v>46</v>
      </c>
      <c r="D31" s="17">
        <f t="shared" si="9"/>
        <v>3700000</v>
      </c>
      <c r="E31" s="17"/>
      <c r="F31" s="17">
        <f t="shared" si="7"/>
        <v>3700000</v>
      </c>
      <c r="G31" s="17">
        <v>3700000</v>
      </c>
      <c r="H31" s="53">
        <f>120000+106060</f>
        <v>226060</v>
      </c>
      <c r="I31" s="53"/>
      <c r="J31" s="17">
        <f t="shared" si="10"/>
        <v>6.10972972972973</v>
      </c>
      <c r="K31" s="48">
        <f t="shared" si="11"/>
        <v>97.35824353773138</v>
      </c>
      <c r="L31" s="73"/>
      <c r="M31" s="42">
        <f t="shared" si="12"/>
        <v>6134</v>
      </c>
      <c r="N31" s="83"/>
      <c r="O31" s="83"/>
      <c r="P31" s="83"/>
      <c r="Q31" s="83">
        <v>120000</v>
      </c>
      <c r="R31" s="83">
        <f>120000-39000+194+31000</f>
        <v>112194</v>
      </c>
      <c r="S31" s="83"/>
      <c r="T31" s="83"/>
      <c r="U31" s="83">
        <f>1700000-31000</f>
        <v>1669000</v>
      </c>
      <c r="V31" s="83"/>
      <c r="W31" s="83">
        <f>1760000+39000-194-158820</f>
        <v>1639986</v>
      </c>
      <c r="X31" s="83">
        <v>134985.87</v>
      </c>
      <c r="Y31" s="83">
        <v>23834.13</v>
      </c>
      <c r="Z31" s="42">
        <f t="shared" si="13"/>
        <v>3700000</v>
      </c>
      <c r="AA31" s="45">
        <f t="shared" si="8"/>
        <v>0</v>
      </c>
    </row>
    <row r="32" spans="1:27" ht="18">
      <c r="A32" s="26"/>
      <c r="B32" s="27"/>
      <c r="C32" s="81" t="s">
        <v>47</v>
      </c>
      <c r="D32" s="17">
        <f t="shared" si="9"/>
        <v>112000</v>
      </c>
      <c r="E32" s="17"/>
      <c r="F32" s="17">
        <f t="shared" si="7"/>
        <v>112000</v>
      </c>
      <c r="G32" s="17">
        <v>112000</v>
      </c>
      <c r="H32" s="53"/>
      <c r="I32" s="53"/>
      <c r="J32" s="84">
        <f t="shared" si="10"/>
        <v>0</v>
      </c>
      <c r="K32" s="48">
        <f t="shared" si="11"/>
        <v>0</v>
      </c>
      <c r="L32" s="73"/>
      <c r="M32" s="42">
        <f t="shared" si="12"/>
        <v>112000</v>
      </c>
      <c r="N32" s="83"/>
      <c r="O32" s="83"/>
      <c r="P32" s="83"/>
      <c r="Q32" s="83">
        <v>112000</v>
      </c>
      <c r="R32" s="83"/>
      <c r="S32" s="83"/>
      <c r="T32" s="83"/>
      <c r="U32" s="83"/>
      <c r="V32" s="83"/>
      <c r="W32" s="83"/>
      <c r="X32" s="83"/>
      <c r="Y32" s="83"/>
      <c r="Z32" s="42">
        <f t="shared" si="13"/>
        <v>112000</v>
      </c>
      <c r="AA32" s="45">
        <f t="shared" si="8"/>
        <v>0</v>
      </c>
    </row>
    <row r="33" spans="1:27" ht="18">
      <c r="A33" s="26"/>
      <c r="B33" s="27"/>
      <c r="C33" s="81" t="s">
        <v>106</v>
      </c>
      <c r="D33" s="17">
        <f t="shared" si="9"/>
        <v>300000</v>
      </c>
      <c r="E33" s="17"/>
      <c r="F33" s="17">
        <f t="shared" si="7"/>
        <v>300000</v>
      </c>
      <c r="G33" s="17">
        <v>300000</v>
      </c>
      <c r="H33" s="53"/>
      <c r="I33" s="53"/>
      <c r="J33" s="84"/>
      <c r="K33" s="48" t="e">
        <f t="shared" si="11"/>
        <v>#DIV/0!</v>
      </c>
      <c r="L33" s="73"/>
      <c r="M33" s="42">
        <f t="shared" si="12"/>
        <v>0</v>
      </c>
      <c r="N33" s="83"/>
      <c r="O33" s="83"/>
      <c r="P33" s="83"/>
      <c r="Q33" s="83"/>
      <c r="R33" s="83"/>
      <c r="S33" s="83"/>
      <c r="T33" s="100">
        <f>225787.43</f>
        <v>225787.43</v>
      </c>
      <c r="U33" s="100">
        <f>74212.57</f>
        <v>74212.57</v>
      </c>
      <c r="V33" s="83"/>
      <c r="W33" s="83"/>
      <c r="X33" s="83"/>
      <c r="Y33" s="83"/>
      <c r="Z33" s="42">
        <f t="shared" si="13"/>
        <v>300000</v>
      </c>
      <c r="AA33" s="45">
        <f t="shared" si="8"/>
        <v>0</v>
      </c>
    </row>
    <row r="34" spans="1:27" ht="18">
      <c r="A34" s="26"/>
      <c r="B34" s="27"/>
      <c r="C34" s="81" t="s">
        <v>107</v>
      </c>
      <c r="D34" s="17">
        <f t="shared" si="9"/>
        <v>1490000</v>
      </c>
      <c r="E34" s="17"/>
      <c r="F34" s="17">
        <f t="shared" si="7"/>
        <v>1490000</v>
      </c>
      <c r="G34" s="17">
        <v>1490000</v>
      </c>
      <c r="H34" s="53"/>
      <c r="I34" s="53"/>
      <c r="J34" s="84">
        <f t="shared" si="10"/>
        <v>0</v>
      </c>
      <c r="K34" s="48" t="e">
        <f t="shared" si="11"/>
        <v>#DIV/0!</v>
      </c>
      <c r="L34" s="73"/>
      <c r="M34" s="42">
        <f t="shared" si="12"/>
        <v>0</v>
      </c>
      <c r="N34" s="83"/>
      <c r="O34" s="83"/>
      <c r="P34" s="83"/>
      <c r="Q34" s="83">
        <v>80000</v>
      </c>
      <c r="R34" s="83">
        <f>-80000</f>
        <v>-80000</v>
      </c>
      <c r="S34" s="83"/>
      <c r="T34" s="83">
        <f>80000</f>
        <v>80000</v>
      </c>
      <c r="U34" s="83"/>
      <c r="V34" s="83"/>
      <c r="W34" s="83"/>
      <c r="X34" s="83">
        <v>1000000</v>
      </c>
      <c r="Y34" s="83">
        <v>410000</v>
      </c>
      <c r="Z34" s="42">
        <f t="shared" si="13"/>
        <v>1490000</v>
      </c>
      <c r="AA34" s="45">
        <f t="shared" si="8"/>
        <v>0</v>
      </c>
    </row>
    <row r="35" spans="1:27" ht="18">
      <c r="A35" s="26"/>
      <c r="B35" s="27"/>
      <c r="C35" s="81" t="s">
        <v>48</v>
      </c>
      <c r="D35" s="17">
        <f t="shared" si="9"/>
        <v>375000</v>
      </c>
      <c r="E35" s="17"/>
      <c r="F35" s="17">
        <f t="shared" si="7"/>
        <v>375000</v>
      </c>
      <c r="G35" s="17">
        <v>375000</v>
      </c>
      <c r="H35" s="53"/>
      <c r="I35" s="53"/>
      <c r="J35" s="84">
        <f t="shared" si="10"/>
        <v>0</v>
      </c>
      <c r="K35" s="48">
        <f t="shared" si="11"/>
        <v>0</v>
      </c>
      <c r="L35" s="73"/>
      <c r="M35" s="42">
        <f t="shared" si="12"/>
        <v>50000</v>
      </c>
      <c r="N35" s="83"/>
      <c r="O35" s="83"/>
      <c r="P35" s="83"/>
      <c r="Q35" s="83">
        <v>50000</v>
      </c>
      <c r="R35" s="83"/>
      <c r="S35" s="83"/>
      <c r="T35" s="83"/>
      <c r="U35" s="83"/>
      <c r="V35" s="83"/>
      <c r="W35" s="83"/>
      <c r="X35" s="83">
        <v>325000</v>
      </c>
      <c r="Y35" s="83"/>
      <c r="Z35" s="42">
        <f t="shared" si="13"/>
        <v>375000</v>
      </c>
      <c r="AA35" s="45">
        <f t="shared" si="8"/>
        <v>0</v>
      </c>
    </row>
    <row r="36" spans="1:27" ht="18">
      <c r="A36" s="26"/>
      <c r="B36" s="27"/>
      <c r="C36" s="81" t="s">
        <v>49</v>
      </c>
      <c r="D36" s="17">
        <f t="shared" si="9"/>
        <v>375000</v>
      </c>
      <c r="E36" s="17"/>
      <c r="F36" s="17">
        <f t="shared" si="7"/>
        <v>375000</v>
      </c>
      <c r="G36" s="17">
        <v>375000</v>
      </c>
      <c r="H36" s="53"/>
      <c r="I36" s="53"/>
      <c r="J36" s="84">
        <f t="shared" si="10"/>
        <v>0</v>
      </c>
      <c r="K36" s="48">
        <f t="shared" si="11"/>
        <v>0</v>
      </c>
      <c r="L36" s="73"/>
      <c r="M36" s="42">
        <f t="shared" si="12"/>
        <v>50000</v>
      </c>
      <c r="N36" s="83"/>
      <c r="O36" s="83"/>
      <c r="P36" s="83"/>
      <c r="Q36" s="83">
        <v>50000</v>
      </c>
      <c r="R36" s="83"/>
      <c r="S36" s="83"/>
      <c r="T36" s="83"/>
      <c r="U36" s="83"/>
      <c r="V36" s="83"/>
      <c r="W36" s="83"/>
      <c r="X36" s="83">
        <v>325000</v>
      </c>
      <c r="Y36" s="83"/>
      <c r="Z36" s="42">
        <f t="shared" si="13"/>
        <v>375000</v>
      </c>
      <c r="AA36" s="45">
        <f t="shared" si="8"/>
        <v>0</v>
      </c>
    </row>
    <row r="37" spans="1:27" ht="18">
      <c r="A37" s="26"/>
      <c r="B37" s="27"/>
      <c r="C37" s="80" t="s">
        <v>108</v>
      </c>
      <c r="D37" s="17">
        <f t="shared" si="9"/>
        <v>163736</v>
      </c>
      <c r="E37" s="17"/>
      <c r="F37" s="17">
        <f t="shared" si="7"/>
        <v>163736</v>
      </c>
      <c r="G37" s="17">
        <v>163736</v>
      </c>
      <c r="H37" s="53"/>
      <c r="I37" s="53"/>
      <c r="J37" s="84"/>
      <c r="K37" s="48" t="e">
        <f t="shared" si="11"/>
        <v>#DIV/0!</v>
      </c>
      <c r="L37" s="73"/>
      <c r="M37" s="42">
        <f t="shared" si="12"/>
        <v>0</v>
      </c>
      <c r="N37" s="83"/>
      <c r="O37" s="83"/>
      <c r="P37" s="83"/>
      <c r="Q37" s="83"/>
      <c r="R37" s="83"/>
      <c r="S37" s="83"/>
      <c r="T37" s="100">
        <v>163736</v>
      </c>
      <c r="U37" s="83"/>
      <c r="V37" s="83"/>
      <c r="W37" s="83"/>
      <c r="X37" s="83"/>
      <c r="Y37" s="83"/>
      <c r="Z37" s="42">
        <f t="shared" si="13"/>
        <v>163736</v>
      </c>
      <c r="AA37" s="45">
        <f t="shared" si="8"/>
        <v>0</v>
      </c>
    </row>
    <row r="38" spans="1:27" ht="18">
      <c r="A38" s="26"/>
      <c r="B38" s="27"/>
      <c r="C38" s="80" t="s">
        <v>109</v>
      </c>
      <c r="D38" s="17">
        <f t="shared" si="9"/>
        <v>262000</v>
      </c>
      <c r="E38" s="17"/>
      <c r="F38" s="17">
        <f t="shared" si="7"/>
        <v>262000</v>
      </c>
      <c r="G38" s="17">
        <v>262000</v>
      </c>
      <c r="H38" s="53"/>
      <c r="I38" s="53"/>
      <c r="J38" s="84"/>
      <c r="K38" s="48" t="e">
        <f t="shared" si="11"/>
        <v>#DIV/0!</v>
      </c>
      <c r="L38" s="73"/>
      <c r="M38" s="42">
        <f t="shared" si="12"/>
        <v>0</v>
      </c>
      <c r="N38" s="83"/>
      <c r="O38" s="83"/>
      <c r="P38" s="83"/>
      <c r="Q38" s="83"/>
      <c r="R38" s="100">
        <f>90000-90000</f>
        <v>0</v>
      </c>
      <c r="S38" s="83"/>
      <c r="T38" s="100">
        <f>172000+48333</f>
        <v>220333</v>
      </c>
      <c r="U38" s="83">
        <f>41667</f>
        <v>41667</v>
      </c>
      <c r="V38" s="83"/>
      <c r="W38" s="83"/>
      <c r="X38" s="83"/>
      <c r="Y38" s="83"/>
      <c r="Z38" s="42">
        <f>SUM(N38:Y38)</f>
        <v>262000</v>
      </c>
      <c r="AA38" s="45">
        <f t="shared" si="8"/>
        <v>0</v>
      </c>
    </row>
    <row r="39" spans="1:27" ht="18">
      <c r="A39" s="26"/>
      <c r="B39" s="27"/>
      <c r="C39" s="81" t="s">
        <v>50</v>
      </c>
      <c r="D39" s="17">
        <f t="shared" si="9"/>
        <v>1490000</v>
      </c>
      <c r="E39" s="17"/>
      <c r="F39" s="17">
        <f t="shared" si="7"/>
        <v>1490000</v>
      </c>
      <c r="G39" s="17">
        <v>1490000</v>
      </c>
      <c r="H39" s="53"/>
      <c r="I39" s="53"/>
      <c r="J39" s="84">
        <f t="shared" si="10"/>
        <v>0</v>
      </c>
      <c r="K39" s="48" t="e">
        <f t="shared" si="11"/>
        <v>#DIV/0!</v>
      </c>
      <c r="L39" s="73"/>
      <c r="M39" s="42">
        <f t="shared" si="12"/>
        <v>0</v>
      </c>
      <c r="N39" s="83"/>
      <c r="O39" s="83"/>
      <c r="P39" s="83"/>
      <c r="Q39" s="83">
        <v>100000</v>
      </c>
      <c r="R39" s="83">
        <f>-100000</f>
        <v>-100000</v>
      </c>
      <c r="S39" s="83"/>
      <c r="T39" s="83">
        <f>100000</f>
        <v>100000</v>
      </c>
      <c r="U39" s="83"/>
      <c r="V39" s="83"/>
      <c r="W39" s="83"/>
      <c r="X39" s="83">
        <v>1000000</v>
      </c>
      <c r="Y39" s="83">
        <v>390000</v>
      </c>
      <c r="Z39" s="42">
        <f t="shared" si="13"/>
        <v>1490000</v>
      </c>
      <c r="AA39" s="45">
        <f t="shared" si="8"/>
        <v>0</v>
      </c>
    </row>
    <row r="40" spans="1:27" ht="18">
      <c r="A40" s="26"/>
      <c r="B40" s="27"/>
      <c r="C40" s="81" t="s">
        <v>51</v>
      </c>
      <c r="D40" s="17">
        <f t="shared" si="9"/>
        <v>1400000</v>
      </c>
      <c r="E40" s="17"/>
      <c r="F40" s="17">
        <f t="shared" si="7"/>
        <v>1400000</v>
      </c>
      <c r="G40" s="17">
        <v>1400000</v>
      </c>
      <c r="H40" s="53">
        <f>64000</f>
        <v>64000</v>
      </c>
      <c r="I40" s="53"/>
      <c r="J40" s="17">
        <f t="shared" si="10"/>
        <v>4.571428571428571</v>
      </c>
      <c r="K40" s="48">
        <f t="shared" si="11"/>
        <v>100</v>
      </c>
      <c r="L40" s="73"/>
      <c r="M40" s="42">
        <f t="shared" si="12"/>
        <v>0</v>
      </c>
      <c r="N40" s="83"/>
      <c r="O40" s="83"/>
      <c r="P40" s="83"/>
      <c r="Q40" s="83">
        <v>50000</v>
      </c>
      <c r="R40" s="83">
        <f>14000</f>
        <v>14000</v>
      </c>
      <c r="S40" s="83"/>
      <c r="T40" s="83"/>
      <c r="U40" s="83"/>
      <c r="V40" s="83"/>
      <c r="W40" s="83"/>
      <c r="X40" s="83">
        <f>1000000-14000</f>
        <v>986000</v>
      </c>
      <c r="Y40" s="83">
        <v>350000</v>
      </c>
      <c r="Z40" s="42">
        <f t="shared" si="13"/>
        <v>1400000</v>
      </c>
      <c r="AA40" s="45">
        <f t="shared" si="8"/>
        <v>0</v>
      </c>
    </row>
    <row r="41" spans="1:27" ht="18">
      <c r="A41" s="26"/>
      <c r="B41" s="27"/>
      <c r="C41" s="81" t="s">
        <v>52</v>
      </c>
      <c r="D41" s="17">
        <f t="shared" si="9"/>
        <v>400000</v>
      </c>
      <c r="E41" s="17"/>
      <c r="F41" s="17">
        <f t="shared" si="7"/>
        <v>400000</v>
      </c>
      <c r="G41" s="17">
        <v>400000</v>
      </c>
      <c r="H41" s="53"/>
      <c r="I41" s="53"/>
      <c r="J41" s="84">
        <f t="shared" si="10"/>
        <v>0</v>
      </c>
      <c r="K41" s="48">
        <f t="shared" si="11"/>
        <v>0</v>
      </c>
      <c r="L41" s="73"/>
      <c r="M41" s="42">
        <f t="shared" si="12"/>
        <v>45000</v>
      </c>
      <c r="N41" s="83"/>
      <c r="O41" s="83"/>
      <c r="P41" s="83"/>
      <c r="Q41" s="83">
        <v>45000</v>
      </c>
      <c r="R41" s="83"/>
      <c r="S41" s="83"/>
      <c r="T41" s="83">
        <v>250000</v>
      </c>
      <c r="U41" s="83"/>
      <c r="V41" s="83"/>
      <c r="W41" s="83">
        <v>105000</v>
      </c>
      <c r="X41" s="83"/>
      <c r="Y41" s="83"/>
      <c r="Z41" s="42">
        <f t="shared" si="13"/>
        <v>400000</v>
      </c>
      <c r="AA41" s="45">
        <f t="shared" si="8"/>
        <v>0</v>
      </c>
    </row>
    <row r="42" spans="1:27" ht="18">
      <c r="A42" s="26"/>
      <c r="B42" s="27"/>
      <c r="C42" s="81" t="s">
        <v>53</v>
      </c>
      <c r="D42" s="17">
        <f t="shared" si="9"/>
        <v>1490000</v>
      </c>
      <c r="E42" s="17"/>
      <c r="F42" s="17">
        <f t="shared" si="7"/>
        <v>1490000</v>
      </c>
      <c r="G42" s="17">
        <v>1490000</v>
      </c>
      <c r="H42" s="53"/>
      <c r="I42" s="53"/>
      <c r="J42" s="84">
        <f t="shared" si="10"/>
        <v>0</v>
      </c>
      <c r="K42" s="48" t="e">
        <f t="shared" si="11"/>
        <v>#DIV/0!</v>
      </c>
      <c r="L42" s="73"/>
      <c r="M42" s="42">
        <f t="shared" si="12"/>
        <v>0</v>
      </c>
      <c r="N42" s="83"/>
      <c r="O42" s="83"/>
      <c r="P42" s="83"/>
      <c r="Q42" s="83">
        <v>60000</v>
      </c>
      <c r="R42" s="83">
        <f>-60000</f>
        <v>-60000</v>
      </c>
      <c r="S42" s="83"/>
      <c r="T42" s="83">
        <f>60000</f>
        <v>60000</v>
      </c>
      <c r="U42" s="83"/>
      <c r="V42" s="83"/>
      <c r="W42" s="83">
        <v>1000000</v>
      </c>
      <c r="X42" s="83"/>
      <c r="Y42" s="83">
        <v>430000</v>
      </c>
      <c r="Z42" s="42">
        <f t="shared" si="13"/>
        <v>1490000</v>
      </c>
      <c r="AA42" s="45">
        <f t="shared" si="8"/>
        <v>0</v>
      </c>
    </row>
    <row r="43" spans="1:27" ht="18">
      <c r="A43" s="26"/>
      <c r="B43" s="27"/>
      <c r="C43" s="81" t="s">
        <v>54</v>
      </c>
      <c r="D43" s="17">
        <f t="shared" si="9"/>
        <v>760000</v>
      </c>
      <c r="E43" s="17"/>
      <c r="F43" s="17">
        <f t="shared" si="7"/>
        <v>760000</v>
      </c>
      <c r="G43" s="17">
        <v>760000</v>
      </c>
      <c r="H43" s="51"/>
      <c r="I43" s="51"/>
      <c r="J43" s="84">
        <f t="shared" si="10"/>
        <v>0</v>
      </c>
      <c r="K43" s="48" t="e">
        <f t="shared" si="11"/>
        <v>#DIV/0!</v>
      </c>
      <c r="L43" s="73"/>
      <c r="M43" s="42">
        <f t="shared" si="12"/>
        <v>0</v>
      </c>
      <c r="N43" s="83"/>
      <c r="O43" s="83"/>
      <c r="P43" s="83"/>
      <c r="Q43" s="83">
        <v>70000</v>
      </c>
      <c r="R43" s="83">
        <f>-70000</f>
        <v>-70000</v>
      </c>
      <c r="S43" s="83"/>
      <c r="T43" s="83">
        <f>400000+70000</f>
        <v>470000</v>
      </c>
      <c r="U43" s="83"/>
      <c r="V43" s="83"/>
      <c r="W43" s="83">
        <v>290000</v>
      </c>
      <c r="X43" s="83"/>
      <c r="Y43" s="83"/>
      <c r="Z43" s="42">
        <f t="shared" si="13"/>
        <v>760000</v>
      </c>
      <c r="AA43" s="45">
        <f t="shared" si="8"/>
        <v>0</v>
      </c>
    </row>
    <row r="44" spans="1:27" ht="18">
      <c r="A44" s="26"/>
      <c r="B44" s="27"/>
      <c r="C44" s="81" t="s">
        <v>55</v>
      </c>
      <c r="D44" s="17">
        <f t="shared" si="9"/>
        <v>360834</v>
      </c>
      <c r="E44" s="17"/>
      <c r="F44" s="17">
        <f t="shared" si="7"/>
        <v>360834</v>
      </c>
      <c r="G44" s="17">
        <v>360834</v>
      </c>
      <c r="H44" s="51"/>
      <c r="I44" s="51"/>
      <c r="J44" s="84">
        <f t="shared" si="10"/>
        <v>0</v>
      </c>
      <c r="K44" s="48">
        <f t="shared" si="11"/>
        <v>0</v>
      </c>
      <c r="L44" s="73"/>
      <c r="M44" s="42">
        <f t="shared" si="12"/>
        <v>834</v>
      </c>
      <c r="N44" s="83"/>
      <c r="O44" s="83"/>
      <c r="P44" s="83"/>
      <c r="Q44" s="83"/>
      <c r="R44" s="83">
        <f>360834-360000</f>
        <v>834</v>
      </c>
      <c r="S44" s="83"/>
      <c r="T44" s="83">
        <f>360000</f>
        <v>360000</v>
      </c>
      <c r="U44" s="83"/>
      <c r="V44" s="83"/>
      <c r="W44" s="83"/>
      <c r="X44" s="83"/>
      <c r="Y44" s="83"/>
      <c r="Z44" s="42">
        <f t="shared" si="13"/>
        <v>360834</v>
      </c>
      <c r="AA44" s="45">
        <f t="shared" si="8"/>
        <v>0</v>
      </c>
    </row>
    <row r="45" spans="1:27" ht="18">
      <c r="A45" s="26"/>
      <c r="B45" s="27"/>
      <c r="C45" s="81" t="s">
        <v>56</v>
      </c>
      <c r="D45" s="17">
        <f t="shared" si="9"/>
        <v>300000</v>
      </c>
      <c r="E45" s="17"/>
      <c r="F45" s="17">
        <f t="shared" si="7"/>
        <v>300000</v>
      </c>
      <c r="G45" s="17">
        <v>300000</v>
      </c>
      <c r="H45" s="51"/>
      <c r="I45" s="51"/>
      <c r="J45" s="84">
        <f t="shared" si="10"/>
        <v>0</v>
      </c>
      <c r="K45" s="48">
        <f t="shared" si="11"/>
        <v>0</v>
      </c>
      <c r="L45" s="73"/>
      <c r="M45" s="42">
        <f t="shared" si="12"/>
        <v>26000</v>
      </c>
      <c r="N45" s="83"/>
      <c r="O45" s="83"/>
      <c r="P45" s="83"/>
      <c r="Q45" s="83">
        <v>40000</v>
      </c>
      <c r="R45" s="83">
        <f>-14000</f>
        <v>-14000</v>
      </c>
      <c r="S45" s="83"/>
      <c r="T45" s="83">
        <v>260000</v>
      </c>
      <c r="U45" s="83"/>
      <c r="V45" s="83"/>
      <c r="W45" s="83"/>
      <c r="X45" s="83">
        <f>14000</f>
        <v>14000</v>
      </c>
      <c r="Y45" s="83"/>
      <c r="Z45" s="42">
        <f t="shared" si="13"/>
        <v>300000</v>
      </c>
      <c r="AA45" s="45">
        <f t="shared" si="8"/>
        <v>0</v>
      </c>
    </row>
    <row r="46" spans="1:27" ht="18">
      <c r="A46" s="26"/>
      <c r="B46" s="27"/>
      <c r="C46" s="81" t="s">
        <v>110</v>
      </c>
      <c r="D46" s="17">
        <f t="shared" si="9"/>
        <v>1490000</v>
      </c>
      <c r="E46" s="17"/>
      <c r="F46" s="17">
        <f t="shared" si="7"/>
        <v>1490000</v>
      </c>
      <c r="G46" s="17">
        <v>1490000</v>
      </c>
      <c r="H46" s="51"/>
      <c r="I46" s="51"/>
      <c r="J46" s="84">
        <f t="shared" si="10"/>
        <v>0</v>
      </c>
      <c r="K46" s="48" t="e">
        <f t="shared" si="11"/>
        <v>#DIV/0!</v>
      </c>
      <c r="L46" s="73"/>
      <c r="M46" s="42">
        <f t="shared" si="12"/>
        <v>0</v>
      </c>
      <c r="N46" s="83"/>
      <c r="O46" s="83"/>
      <c r="P46" s="83"/>
      <c r="Q46" s="83">
        <v>115000</v>
      </c>
      <c r="R46" s="83">
        <f>-115000</f>
        <v>-115000</v>
      </c>
      <c r="S46" s="83"/>
      <c r="T46" s="83">
        <f>115000</f>
        <v>115000</v>
      </c>
      <c r="U46" s="83"/>
      <c r="V46" s="83"/>
      <c r="W46" s="83">
        <v>1000000</v>
      </c>
      <c r="X46" s="83"/>
      <c r="Y46" s="83">
        <v>375000</v>
      </c>
      <c r="Z46" s="42">
        <f t="shared" si="13"/>
        <v>1490000</v>
      </c>
      <c r="AA46" s="45">
        <f t="shared" si="8"/>
        <v>0</v>
      </c>
    </row>
    <row r="47" spans="1:27" ht="18">
      <c r="A47" s="26"/>
      <c r="B47" s="27"/>
      <c r="C47" s="81" t="s">
        <v>57</v>
      </c>
      <c r="D47" s="17">
        <f t="shared" si="9"/>
        <v>760000</v>
      </c>
      <c r="E47" s="17"/>
      <c r="F47" s="17">
        <f t="shared" si="7"/>
        <v>760000</v>
      </c>
      <c r="G47" s="17">
        <v>760000</v>
      </c>
      <c r="H47" s="51"/>
      <c r="I47" s="51"/>
      <c r="J47" s="84">
        <f t="shared" si="10"/>
        <v>0</v>
      </c>
      <c r="K47" s="48">
        <f t="shared" si="11"/>
        <v>0</v>
      </c>
      <c r="L47" s="73"/>
      <c r="M47" s="42">
        <f t="shared" si="12"/>
        <v>66000</v>
      </c>
      <c r="N47" s="83"/>
      <c r="O47" s="83"/>
      <c r="P47" s="83"/>
      <c r="Q47" s="83">
        <v>66000</v>
      </c>
      <c r="R47" s="83"/>
      <c r="S47" s="83"/>
      <c r="T47" s="83">
        <v>400000</v>
      </c>
      <c r="U47" s="83"/>
      <c r="V47" s="83"/>
      <c r="W47" s="83">
        <v>294000</v>
      </c>
      <c r="X47" s="83"/>
      <c r="Y47" s="83"/>
      <c r="Z47" s="42">
        <f t="shared" si="13"/>
        <v>760000</v>
      </c>
      <c r="AA47" s="45">
        <f t="shared" si="8"/>
        <v>0</v>
      </c>
    </row>
    <row r="48" spans="1:27" ht="18">
      <c r="A48" s="26"/>
      <c r="B48" s="27"/>
      <c r="C48" s="81" t="s">
        <v>58</v>
      </c>
      <c r="D48" s="17">
        <f t="shared" si="9"/>
        <v>3709</v>
      </c>
      <c r="E48" s="17"/>
      <c r="F48" s="17">
        <f t="shared" si="7"/>
        <v>3709</v>
      </c>
      <c r="G48" s="17">
        <v>3709</v>
      </c>
      <c r="H48" s="17">
        <f>3709</f>
        <v>3709</v>
      </c>
      <c r="I48" s="17"/>
      <c r="J48" s="84">
        <f t="shared" si="10"/>
        <v>100</v>
      </c>
      <c r="K48" s="48">
        <f t="shared" si="11"/>
        <v>100</v>
      </c>
      <c r="L48" s="73"/>
      <c r="M48" s="42">
        <f t="shared" si="12"/>
        <v>0</v>
      </c>
      <c r="N48" s="83"/>
      <c r="O48" s="83"/>
      <c r="P48" s="83">
        <v>3709</v>
      </c>
      <c r="Q48" s="83"/>
      <c r="R48" s="83"/>
      <c r="S48" s="83"/>
      <c r="T48" s="83"/>
      <c r="U48" s="83"/>
      <c r="V48" s="83"/>
      <c r="W48" s="83"/>
      <c r="X48" s="83"/>
      <c r="Y48" s="83"/>
      <c r="Z48" s="42">
        <f t="shared" si="13"/>
        <v>3709</v>
      </c>
      <c r="AA48" s="45">
        <f t="shared" si="8"/>
        <v>0</v>
      </c>
    </row>
    <row r="49" spans="1:27" ht="18">
      <c r="A49" s="26"/>
      <c r="B49" s="27"/>
      <c r="C49" s="81" t="s">
        <v>59</v>
      </c>
      <c r="D49" s="17">
        <f t="shared" si="9"/>
        <v>550000</v>
      </c>
      <c r="E49" s="17"/>
      <c r="F49" s="17">
        <f t="shared" si="7"/>
        <v>550000</v>
      </c>
      <c r="G49" s="17">
        <v>550000</v>
      </c>
      <c r="H49" s="51"/>
      <c r="I49" s="51"/>
      <c r="J49" s="84">
        <f t="shared" si="10"/>
        <v>0</v>
      </c>
      <c r="K49" s="48">
        <f t="shared" si="11"/>
        <v>0</v>
      </c>
      <c r="L49" s="73"/>
      <c r="M49" s="42">
        <f t="shared" si="12"/>
        <v>45000</v>
      </c>
      <c r="N49" s="83"/>
      <c r="O49" s="83"/>
      <c r="P49" s="83"/>
      <c r="Q49" s="83">
        <v>45000</v>
      </c>
      <c r="R49" s="83"/>
      <c r="S49" s="83"/>
      <c r="T49" s="83">
        <v>350000</v>
      </c>
      <c r="U49" s="83"/>
      <c r="V49" s="83"/>
      <c r="W49" s="83">
        <v>155000</v>
      </c>
      <c r="X49" s="83"/>
      <c r="Y49" s="83"/>
      <c r="Z49" s="42">
        <f t="shared" si="13"/>
        <v>550000</v>
      </c>
      <c r="AA49" s="45">
        <f t="shared" si="8"/>
        <v>0</v>
      </c>
    </row>
    <row r="50" spans="1:27" ht="18">
      <c r="A50" s="26"/>
      <c r="B50" s="27"/>
      <c r="C50" s="81" t="s">
        <v>60</v>
      </c>
      <c r="D50" s="17">
        <f t="shared" si="9"/>
        <v>1430000</v>
      </c>
      <c r="E50" s="17"/>
      <c r="F50" s="17">
        <f t="shared" si="7"/>
        <v>1430000</v>
      </c>
      <c r="G50" s="17">
        <v>1430000</v>
      </c>
      <c r="H50" s="17">
        <f>970000</f>
        <v>970000</v>
      </c>
      <c r="I50" s="17"/>
      <c r="J50" s="75">
        <f t="shared" si="10"/>
        <v>67.83216783216784</v>
      </c>
      <c r="K50" s="48">
        <f t="shared" si="11"/>
        <v>97</v>
      </c>
      <c r="L50" s="73"/>
      <c r="M50" s="42">
        <f t="shared" si="12"/>
        <v>30000</v>
      </c>
      <c r="N50" s="83"/>
      <c r="O50" s="83"/>
      <c r="P50" s="83">
        <v>1000000</v>
      </c>
      <c r="Q50" s="83"/>
      <c r="R50" s="83"/>
      <c r="S50" s="83"/>
      <c r="T50" s="83">
        <v>430000</v>
      </c>
      <c r="U50" s="83"/>
      <c r="V50" s="83"/>
      <c r="W50" s="83"/>
      <c r="X50" s="83"/>
      <c r="Y50" s="83"/>
      <c r="Z50" s="42">
        <f t="shared" si="13"/>
        <v>1430000</v>
      </c>
      <c r="AA50" s="45">
        <f t="shared" si="8"/>
        <v>0</v>
      </c>
    </row>
    <row r="51" spans="1:27" ht="18">
      <c r="A51" s="26"/>
      <c r="B51" s="27"/>
      <c r="C51" s="81" t="s">
        <v>61</v>
      </c>
      <c r="D51" s="17">
        <f t="shared" si="9"/>
        <v>244236.83</v>
      </c>
      <c r="E51" s="17"/>
      <c r="F51" s="17">
        <f t="shared" si="7"/>
        <v>244236.83</v>
      </c>
      <c r="G51" s="17">
        <f>240000+2416.83+1820</f>
        <v>244236.83</v>
      </c>
      <c r="H51" s="51"/>
      <c r="I51" s="51"/>
      <c r="J51" s="84">
        <f t="shared" si="10"/>
        <v>0</v>
      </c>
      <c r="K51" s="48">
        <f t="shared" si="11"/>
        <v>0</v>
      </c>
      <c r="L51" s="73"/>
      <c r="M51" s="42">
        <f t="shared" si="12"/>
        <v>242416.83</v>
      </c>
      <c r="N51" s="83"/>
      <c r="O51" s="83"/>
      <c r="P51" s="83">
        <v>2416.83</v>
      </c>
      <c r="Q51" s="83">
        <v>240000</v>
      </c>
      <c r="R51" s="83"/>
      <c r="S51" s="83"/>
      <c r="T51" s="83">
        <f>1820</f>
        <v>1820</v>
      </c>
      <c r="U51" s="83"/>
      <c r="V51" s="83"/>
      <c r="W51" s="83"/>
      <c r="X51" s="83"/>
      <c r="Y51" s="83"/>
      <c r="Z51" s="42">
        <f t="shared" si="13"/>
        <v>244236.83</v>
      </c>
      <c r="AA51" s="45">
        <f t="shared" si="8"/>
        <v>0</v>
      </c>
    </row>
    <row r="52" spans="1:27" ht="18">
      <c r="A52" s="26"/>
      <c r="B52" s="27"/>
      <c r="C52" s="81" t="s">
        <v>62</v>
      </c>
      <c r="D52" s="17">
        <f t="shared" si="9"/>
        <v>1450000</v>
      </c>
      <c r="E52" s="17"/>
      <c r="F52" s="17">
        <f t="shared" si="7"/>
        <v>1450000</v>
      </c>
      <c r="G52" s="17">
        <v>1450000</v>
      </c>
      <c r="H52" s="51"/>
      <c r="I52" s="51"/>
      <c r="J52" s="84">
        <f t="shared" si="10"/>
        <v>0</v>
      </c>
      <c r="K52" s="48">
        <f t="shared" si="11"/>
        <v>0</v>
      </c>
      <c r="L52" s="73"/>
      <c r="M52" s="42">
        <f t="shared" si="12"/>
        <v>115000</v>
      </c>
      <c r="N52" s="83"/>
      <c r="O52" s="83"/>
      <c r="P52" s="83"/>
      <c r="Q52" s="83">
        <v>115000</v>
      </c>
      <c r="R52" s="83"/>
      <c r="S52" s="83"/>
      <c r="T52" s="83"/>
      <c r="U52" s="83">
        <v>1000000</v>
      </c>
      <c r="V52" s="83"/>
      <c r="W52" s="83">
        <v>335000</v>
      </c>
      <c r="X52" s="83"/>
      <c r="Y52" s="83"/>
      <c r="Z52" s="42">
        <f t="shared" si="13"/>
        <v>1450000</v>
      </c>
      <c r="AA52" s="45">
        <f t="shared" si="8"/>
        <v>0</v>
      </c>
    </row>
    <row r="53" spans="1:27" ht="36">
      <c r="A53" s="26"/>
      <c r="B53" s="27"/>
      <c r="C53" s="81" t="s">
        <v>63</v>
      </c>
      <c r="D53" s="17">
        <f t="shared" si="9"/>
        <v>2500000</v>
      </c>
      <c r="E53" s="17"/>
      <c r="F53" s="17">
        <f t="shared" si="7"/>
        <v>2500000</v>
      </c>
      <c r="G53" s="17">
        <v>2500000</v>
      </c>
      <c r="H53" s="53">
        <f>120000+106060</f>
        <v>226060</v>
      </c>
      <c r="I53" s="53"/>
      <c r="J53" s="75">
        <f t="shared" si="10"/>
        <v>9.0424</v>
      </c>
      <c r="K53" s="48">
        <f t="shared" si="11"/>
        <v>94.19166666666666</v>
      </c>
      <c r="L53" s="73"/>
      <c r="M53" s="42">
        <f t="shared" si="12"/>
        <v>13940</v>
      </c>
      <c r="N53" s="83"/>
      <c r="O53" s="83"/>
      <c r="P53" s="83"/>
      <c r="Q53" s="83">
        <v>120000</v>
      </c>
      <c r="R53" s="83">
        <v>120000</v>
      </c>
      <c r="S53" s="83">
        <f>800000-465255</f>
        <v>334745</v>
      </c>
      <c r="T53" s="83">
        <f>465255</f>
        <v>465255</v>
      </c>
      <c r="U53" s="83">
        <v>700000</v>
      </c>
      <c r="V53" s="83"/>
      <c r="W53" s="83">
        <v>760000</v>
      </c>
      <c r="X53" s="83"/>
      <c r="Y53" s="83"/>
      <c r="Z53" s="42">
        <f t="shared" si="13"/>
        <v>2500000</v>
      </c>
      <c r="AA53" s="45">
        <f t="shared" si="8"/>
        <v>0</v>
      </c>
    </row>
    <row r="54" spans="1:27" ht="36">
      <c r="A54" s="26"/>
      <c r="B54" s="27"/>
      <c r="C54" s="81" t="s">
        <v>64</v>
      </c>
      <c r="D54" s="17">
        <f t="shared" si="9"/>
        <v>134745</v>
      </c>
      <c r="E54" s="17"/>
      <c r="F54" s="17">
        <f t="shared" si="7"/>
        <v>134745</v>
      </c>
      <c r="G54" s="17">
        <v>134745</v>
      </c>
      <c r="H54" s="53"/>
      <c r="I54" s="53"/>
      <c r="J54" s="96">
        <f t="shared" si="10"/>
        <v>0</v>
      </c>
      <c r="K54" s="48" t="e">
        <f t="shared" si="11"/>
        <v>#DIV/0!</v>
      </c>
      <c r="L54" s="73"/>
      <c r="M54" s="42">
        <f t="shared" si="12"/>
        <v>0</v>
      </c>
      <c r="N54" s="83"/>
      <c r="O54" s="83"/>
      <c r="P54" s="83">
        <v>134745</v>
      </c>
      <c r="Q54" s="83"/>
      <c r="R54" s="83">
        <f>-134745</f>
        <v>-134745</v>
      </c>
      <c r="S54" s="83"/>
      <c r="T54" s="83"/>
      <c r="U54" s="83"/>
      <c r="V54" s="83"/>
      <c r="W54" s="83"/>
      <c r="X54" s="83"/>
      <c r="Y54" s="83">
        <f>134745</f>
        <v>134745</v>
      </c>
      <c r="Z54" s="42">
        <f t="shared" si="13"/>
        <v>134745</v>
      </c>
      <c r="AA54" s="45">
        <f t="shared" si="8"/>
        <v>0</v>
      </c>
    </row>
    <row r="55" spans="1:27" ht="18">
      <c r="A55" s="26"/>
      <c r="B55" s="27"/>
      <c r="C55" s="81" t="s">
        <v>97</v>
      </c>
      <c r="D55" s="17">
        <f>F55</f>
        <v>644243.13</v>
      </c>
      <c r="E55" s="17"/>
      <c r="F55" s="17">
        <f>G55</f>
        <v>644243.13</v>
      </c>
      <c r="G55" s="17">
        <v>644243.13</v>
      </c>
      <c r="H55" s="53"/>
      <c r="I55" s="53"/>
      <c r="J55" s="96">
        <f t="shared" si="10"/>
        <v>0</v>
      </c>
      <c r="K55" s="48">
        <f t="shared" si="11"/>
        <v>0</v>
      </c>
      <c r="L55" s="73"/>
      <c r="M55" s="42">
        <f t="shared" si="12"/>
        <v>600000</v>
      </c>
      <c r="N55" s="83"/>
      <c r="O55" s="83"/>
      <c r="P55" s="83"/>
      <c r="Q55" s="83"/>
      <c r="R55" s="83">
        <f>600000</f>
        <v>600000</v>
      </c>
      <c r="S55" s="83"/>
      <c r="T55" s="83"/>
      <c r="U55" s="83"/>
      <c r="V55" s="83"/>
      <c r="W55" s="83"/>
      <c r="X55" s="83"/>
      <c r="Y55" s="83">
        <f>644243.13-600000</f>
        <v>44243.130000000005</v>
      </c>
      <c r="Z55" s="42">
        <f t="shared" si="13"/>
        <v>644243.13</v>
      </c>
      <c r="AA55" s="45">
        <f t="shared" si="8"/>
        <v>0</v>
      </c>
    </row>
    <row r="56" spans="1:27" ht="18">
      <c r="A56" s="26"/>
      <c r="B56" s="27"/>
      <c r="C56" s="81" t="s">
        <v>98</v>
      </c>
      <c r="D56" s="17">
        <f>F56</f>
        <v>2235645.64</v>
      </c>
      <c r="E56" s="17"/>
      <c r="F56" s="17">
        <f>G56</f>
        <v>2235645.64</v>
      </c>
      <c r="G56" s="17">
        <v>2235645.64</v>
      </c>
      <c r="H56" s="53">
        <f>786625+861005.59</f>
        <v>1647630.5899999999</v>
      </c>
      <c r="I56" s="53"/>
      <c r="J56" s="75">
        <f t="shared" si="10"/>
        <v>73.69819977373515</v>
      </c>
      <c r="K56" s="48">
        <f t="shared" si="11"/>
        <v>98.36600537313433</v>
      </c>
      <c r="L56" s="73"/>
      <c r="M56" s="42">
        <f t="shared" si="12"/>
        <v>27369.41000000015</v>
      </c>
      <c r="N56" s="83"/>
      <c r="O56" s="83"/>
      <c r="P56" s="83"/>
      <c r="Q56" s="83">
        <f>800000</f>
        <v>800000</v>
      </c>
      <c r="R56" s="83">
        <f>875000</f>
        <v>875000</v>
      </c>
      <c r="S56" s="83"/>
      <c r="T56" s="83">
        <f>833333-833333</f>
        <v>0</v>
      </c>
      <c r="U56" s="83">
        <f>602312.64-41667</f>
        <v>560645.64</v>
      </c>
      <c r="V56" s="83"/>
      <c r="W56" s="83"/>
      <c r="X56" s="83"/>
      <c r="Y56" s="83"/>
      <c r="Z56" s="42">
        <f t="shared" si="13"/>
        <v>2235645.64</v>
      </c>
      <c r="AA56" s="45">
        <f t="shared" si="8"/>
        <v>0</v>
      </c>
    </row>
    <row r="57" spans="1:27" ht="18">
      <c r="A57" s="26"/>
      <c r="B57" s="27"/>
      <c r="C57" s="81" t="s">
        <v>99</v>
      </c>
      <c r="D57" s="17">
        <f>F57</f>
        <v>1564354.36</v>
      </c>
      <c r="E57" s="17"/>
      <c r="F57" s="17">
        <f>G57</f>
        <v>1564354.36</v>
      </c>
      <c r="G57" s="17">
        <v>1564354.36</v>
      </c>
      <c r="H57" s="53">
        <f>665442.31</f>
        <v>665442.31</v>
      </c>
      <c r="I57" s="53"/>
      <c r="J57" s="75">
        <f t="shared" si="10"/>
        <v>42.53782435841455</v>
      </c>
      <c r="K57" s="48">
        <f t="shared" si="11"/>
        <v>62.24904677268476</v>
      </c>
      <c r="L57" s="73"/>
      <c r="M57" s="42">
        <f t="shared" si="12"/>
        <v>403557.68999999994</v>
      </c>
      <c r="N57" s="83"/>
      <c r="O57" s="83"/>
      <c r="P57" s="83"/>
      <c r="Q57" s="83">
        <f>1100000</f>
        <v>1100000</v>
      </c>
      <c r="R57" s="83">
        <f>-31000</f>
        <v>-31000</v>
      </c>
      <c r="S57" s="83"/>
      <c r="T57" s="83"/>
      <c r="U57" s="83">
        <f>231020.36+31000</f>
        <v>262020.36</v>
      </c>
      <c r="V57" s="83">
        <f>233334</f>
        <v>233334</v>
      </c>
      <c r="W57" s="83"/>
      <c r="X57" s="83"/>
      <c r="Y57" s="83"/>
      <c r="Z57" s="42">
        <f t="shared" si="13"/>
        <v>1564354.3599999999</v>
      </c>
      <c r="AA57" s="45">
        <f t="shared" si="8"/>
        <v>0</v>
      </c>
    </row>
    <row r="58" spans="1:27" ht="18">
      <c r="A58" s="26"/>
      <c r="B58" s="27"/>
      <c r="C58" s="81" t="s">
        <v>100</v>
      </c>
      <c r="D58" s="75">
        <f>F58</f>
        <v>390000</v>
      </c>
      <c r="E58" s="17"/>
      <c r="F58" s="17">
        <f>G58</f>
        <v>390000</v>
      </c>
      <c r="G58" s="17">
        <v>390000</v>
      </c>
      <c r="H58" s="53"/>
      <c r="I58" s="53"/>
      <c r="J58" s="84"/>
      <c r="K58" s="48">
        <f t="shared" si="11"/>
        <v>0</v>
      </c>
      <c r="L58" s="73"/>
      <c r="M58" s="42">
        <f t="shared" si="12"/>
        <v>50000</v>
      </c>
      <c r="N58" s="83"/>
      <c r="O58" s="83"/>
      <c r="P58" s="83"/>
      <c r="Q58" s="83">
        <f>50000</f>
        <v>50000</v>
      </c>
      <c r="R58" s="83"/>
      <c r="S58" s="83"/>
      <c r="T58" s="83">
        <f>180000</f>
        <v>180000</v>
      </c>
      <c r="U58" s="83"/>
      <c r="V58" s="83"/>
      <c r="W58" s="83">
        <f>160000</f>
        <v>160000</v>
      </c>
      <c r="X58" s="83"/>
      <c r="Y58" s="83"/>
      <c r="Z58" s="42">
        <f t="shared" si="13"/>
        <v>390000</v>
      </c>
      <c r="AA58" s="45">
        <f t="shared" si="8"/>
        <v>0</v>
      </c>
    </row>
    <row r="59" spans="1:27" ht="18">
      <c r="A59" s="26"/>
      <c r="B59" s="27"/>
      <c r="C59" s="81" t="s">
        <v>65</v>
      </c>
      <c r="D59" s="17">
        <f t="shared" si="9"/>
        <v>1000000</v>
      </c>
      <c r="E59" s="17"/>
      <c r="F59" s="17">
        <f t="shared" si="7"/>
        <v>1000000</v>
      </c>
      <c r="G59" s="17">
        <v>1000000</v>
      </c>
      <c r="H59" s="53"/>
      <c r="I59" s="53"/>
      <c r="J59" s="84">
        <f t="shared" si="10"/>
        <v>0</v>
      </c>
      <c r="K59" s="48">
        <f t="shared" si="11"/>
        <v>0</v>
      </c>
      <c r="L59" s="73"/>
      <c r="M59" s="42">
        <f t="shared" si="12"/>
        <v>100000</v>
      </c>
      <c r="N59" s="85"/>
      <c r="O59" s="85"/>
      <c r="P59" s="85"/>
      <c r="Q59" s="85">
        <v>100000</v>
      </c>
      <c r="R59" s="85"/>
      <c r="S59" s="85">
        <v>700000</v>
      </c>
      <c r="T59" s="85"/>
      <c r="U59" s="85"/>
      <c r="V59" s="85"/>
      <c r="W59" s="85">
        <v>200000</v>
      </c>
      <c r="X59" s="85"/>
      <c r="Y59" s="85"/>
      <c r="Z59" s="42">
        <f t="shared" si="13"/>
        <v>1000000</v>
      </c>
      <c r="AA59" s="45">
        <f t="shared" si="8"/>
        <v>0</v>
      </c>
    </row>
    <row r="60" spans="1:27" ht="18">
      <c r="A60" s="26"/>
      <c r="B60" s="27"/>
      <c r="C60" s="81" t="s">
        <v>66</v>
      </c>
      <c r="D60" s="17">
        <f t="shared" si="9"/>
        <v>800000</v>
      </c>
      <c r="E60" s="17"/>
      <c r="F60" s="17">
        <f t="shared" si="7"/>
        <v>800000</v>
      </c>
      <c r="G60" s="17">
        <v>800000</v>
      </c>
      <c r="H60" s="53"/>
      <c r="I60" s="53"/>
      <c r="J60" s="84">
        <f t="shared" si="10"/>
        <v>0</v>
      </c>
      <c r="K60" s="48">
        <f t="shared" si="11"/>
        <v>0</v>
      </c>
      <c r="L60" s="73"/>
      <c r="M60" s="42">
        <f t="shared" si="12"/>
        <v>60000</v>
      </c>
      <c r="N60" s="85"/>
      <c r="O60" s="85"/>
      <c r="P60" s="85"/>
      <c r="Q60" s="85">
        <v>60000</v>
      </c>
      <c r="R60" s="85"/>
      <c r="S60" s="85"/>
      <c r="T60" s="85"/>
      <c r="U60" s="85"/>
      <c r="V60" s="85"/>
      <c r="W60" s="85">
        <v>500000</v>
      </c>
      <c r="X60" s="85"/>
      <c r="Y60" s="85">
        <v>240000</v>
      </c>
      <c r="Z60" s="42">
        <f t="shared" si="13"/>
        <v>800000</v>
      </c>
      <c r="AA60" s="45">
        <f t="shared" si="8"/>
        <v>0</v>
      </c>
    </row>
    <row r="61" spans="1:27" ht="18">
      <c r="A61" s="26"/>
      <c r="B61" s="27"/>
      <c r="C61" s="81" t="s">
        <v>67</v>
      </c>
      <c r="D61" s="17">
        <f t="shared" si="9"/>
        <v>600000</v>
      </c>
      <c r="E61" s="17"/>
      <c r="F61" s="17">
        <f t="shared" si="7"/>
        <v>600000</v>
      </c>
      <c r="G61" s="17">
        <v>600000</v>
      </c>
      <c r="H61" s="53"/>
      <c r="I61" s="53"/>
      <c r="J61" s="84">
        <f t="shared" si="10"/>
        <v>0</v>
      </c>
      <c r="K61" s="48">
        <f t="shared" si="11"/>
        <v>0</v>
      </c>
      <c r="L61" s="73"/>
      <c r="M61" s="42">
        <f t="shared" si="12"/>
        <v>60000</v>
      </c>
      <c r="N61" s="85"/>
      <c r="O61" s="85"/>
      <c r="P61" s="85"/>
      <c r="Q61" s="85">
        <v>60000</v>
      </c>
      <c r="R61" s="85"/>
      <c r="S61" s="85"/>
      <c r="T61" s="85">
        <v>328160</v>
      </c>
      <c r="U61" s="85"/>
      <c r="V61" s="85"/>
      <c r="W61" s="85"/>
      <c r="X61" s="85">
        <v>211840</v>
      </c>
      <c r="Y61" s="85"/>
      <c r="Z61" s="42">
        <f t="shared" si="13"/>
        <v>600000</v>
      </c>
      <c r="AA61" s="45">
        <f t="shared" si="8"/>
        <v>0</v>
      </c>
    </row>
    <row r="62" spans="1:27" ht="18">
      <c r="A62" s="26"/>
      <c r="B62" s="27"/>
      <c r="C62" s="81" t="s">
        <v>68</v>
      </c>
      <c r="D62" s="17">
        <f>F62</f>
        <v>1000000</v>
      </c>
      <c r="E62" s="17"/>
      <c r="F62" s="17">
        <f>G62</f>
        <v>1000000</v>
      </c>
      <c r="G62" s="17">
        <v>1000000</v>
      </c>
      <c r="H62" s="53"/>
      <c r="I62" s="53"/>
      <c r="J62" s="84">
        <f t="shared" si="10"/>
        <v>0</v>
      </c>
      <c r="K62" s="48">
        <f t="shared" si="11"/>
        <v>0</v>
      </c>
      <c r="L62" s="73"/>
      <c r="M62" s="42">
        <f t="shared" si="12"/>
        <v>120000</v>
      </c>
      <c r="N62" s="85"/>
      <c r="O62" s="85"/>
      <c r="P62" s="85"/>
      <c r="Q62" s="85">
        <v>120000</v>
      </c>
      <c r="R62" s="85"/>
      <c r="S62" s="85"/>
      <c r="T62" s="85"/>
      <c r="U62" s="85"/>
      <c r="V62" s="85">
        <v>175000</v>
      </c>
      <c r="W62" s="85">
        <v>600000</v>
      </c>
      <c r="X62" s="85"/>
      <c r="Y62" s="85">
        <f>280000-175000</f>
        <v>105000</v>
      </c>
      <c r="Z62" s="42">
        <f t="shared" si="13"/>
        <v>1000000</v>
      </c>
      <c r="AA62" s="45">
        <f t="shared" si="8"/>
        <v>0</v>
      </c>
    </row>
    <row r="63" spans="1:27" ht="18">
      <c r="A63" s="26"/>
      <c r="B63" s="27"/>
      <c r="C63" s="81" t="s">
        <v>69</v>
      </c>
      <c r="D63" s="17">
        <f>F63</f>
        <v>700000</v>
      </c>
      <c r="E63" s="17"/>
      <c r="F63" s="17">
        <f>G63</f>
        <v>700000</v>
      </c>
      <c r="G63" s="17">
        <v>700000</v>
      </c>
      <c r="H63" s="53"/>
      <c r="I63" s="53"/>
      <c r="J63" s="84">
        <f t="shared" si="10"/>
        <v>0</v>
      </c>
      <c r="K63" s="48">
        <f t="shared" si="11"/>
        <v>0</v>
      </c>
      <c r="L63" s="73"/>
      <c r="M63" s="42">
        <f t="shared" si="12"/>
        <v>60000</v>
      </c>
      <c r="N63" s="85"/>
      <c r="O63" s="85"/>
      <c r="P63" s="85"/>
      <c r="Q63" s="85">
        <v>60000</v>
      </c>
      <c r="R63" s="85"/>
      <c r="S63" s="85"/>
      <c r="T63" s="85">
        <v>450000</v>
      </c>
      <c r="U63" s="85"/>
      <c r="V63" s="85"/>
      <c r="W63" s="85">
        <v>190000</v>
      </c>
      <c r="X63" s="85"/>
      <c r="Y63" s="85"/>
      <c r="Z63" s="42">
        <f t="shared" si="13"/>
        <v>700000</v>
      </c>
      <c r="AA63" s="45">
        <f t="shared" si="8"/>
        <v>0</v>
      </c>
    </row>
    <row r="64" spans="1:27" ht="18">
      <c r="A64" s="26"/>
      <c r="B64" s="27"/>
      <c r="C64" s="81" t="s">
        <v>70</v>
      </c>
      <c r="D64" s="17">
        <f>F64</f>
        <v>29943</v>
      </c>
      <c r="E64" s="17"/>
      <c r="F64" s="17">
        <f>G64</f>
        <v>29943</v>
      </c>
      <c r="G64" s="17">
        <v>29943</v>
      </c>
      <c r="H64" s="53"/>
      <c r="I64" s="53"/>
      <c r="J64" s="84">
        <f t="shared" si="10"/>
        <v>0</v>
      </c>
      <c r="K64" s="48">
        <f t="shared" si="11"/>
        <v>0</v>
      </c>
      <c r="L64" s="73"/>
      <c r="M64" s="42">
        <f t="shared" si="12"/>
        <v>29943</v>
      </c>
      <c r="N64" s="85"/>
      <c r="O64" s="85"/>
      <c r="P64" s="85"/>
      <c r="Q64" s="85">
        <v>29943</v>
      </c>
      <c r="R64" s="85"/>
      <c r="S64" s="85"/>
      <c r="T64" s="85"/>
      <c r="U64" s="85"/>
      <c r="V64" s="85"/>
      <c r="W64" s="85"/>
      <c r="X64" s="85"/>
      <c r="Y64" s="85"/>
      <c r="Z64" s="42">
        <f t="shared" si="13"/>
        <v>29943</v>
      </c>
      <c r="AA64" s="45">
        <f t="shared" si="8"/>
        <v>0</v>
      </c>
    </row>
    <row r="65" spans="1:27" ht="18">
      <c r="A65" s="26"/>
      <c r="B65" s="27"/>
      <c r="C65" s="81" t="s">
        <v>71</v>
      </c>
      <c r="D65" s="17">
        <f t="shared" si="9"/>
        <v>3000000</v>
      </c>
      <c r="E65" s="17"/>
      <c r="F65" s="17">
        <f t="shared" si="7"/>
        <v>3000000</v>
      </c>
      <c r="G65" s="17">
        <v>3000000</v>
      </c>
      <c r="H65" s="53">
        <f>1761451.15</f>
        <v>1761451.15</v>
      </c>
      <c r="I65" s="53"/>
      <c r="J65" s="99">
        <f t="shared" si="10"/>
        <v>58.715038333333325</v>
      </c>
      <c r="K65" s="48">
        <f t="shared" si="11"/>
        <v>99.96885073779795</v>
      </c>
      <c r="L65" s="73"/>
      <c r="M65" s="42">
        <f t="shared" si="12"/>
        <v>548.8500000000931</v>
      </c>
      <c r="N65" s="85"/>
      <c r="O65" s="85"/>
      <c r="P65" s="85"/>
      <c r="Q65" s="85">
        <v>1400000</v>
      </c>
      <c r="R65" s="85">
        <f>-465255+827255</f>
        <v>362000</v>
      </c>
      <c r="S65" s="85">
        <f>465255</f>
        <v>465255</v>
      </c>
      <c r="T65" s="85"/>
      <c r="U65" s="85">
        <f>1400000-827255</f>
        <v>572745</v>
      </c>
      <c r="V65" s="85"/>
      <c r="W65" s="85"/>
      <c r="X65" s="85"/>
      <c r="Y65" s="85">
        <v>200000</v>
      </c>
      <c r="Z65" s="42">
        <f t="shared" si="13"/>
        <v>3000000</v>
      </c>
      <c r="AA65" s="45">
        <f t="shared" si="8"/>
        <v>0</v>
      </c>
    </row>
    <row r="66" spans="1:27" ht="18">
      <c r="A66" s="26"/>
      <c r="B66" s="27"/>
      <c r="C66" s="81" t="s">
        <v>72</v>
      </c>
      <c r="D66" s="17">
        <f t="shared" si="9"/>
        <v>1400000</v>
      </c>
      <c r="E66" s="17"/>
      <c r="F66" s="17">
        <f t="shared" si="7"/>
        <v>1400000</v>
      </c>
      <c r="G66" s="17">
        <v>1400000</v>
      </c>
      <c r="H66" s="53">
        <f>70000+42060</f>
        <v>112060</v>
      </c>
      <c r="I66" s="53"/>
      <c r="J66" s="17">
        <f t="shared" si="10"/>
        <v>8.004285714285714</v>
      </c>
      <c r="K66" s="48">
        <f t="shared" si="11"/>
        <v>94.16806722689076</v>
      </c>
      <c r="L66" s="73"/>
      <c r="M66" s="42">
        <f t="shared" si="12"/>
        <v>6940</v>
      </c>
      <c r="N66" s="85"/>
      <c r="O66" s="85"/>
      <c r="P66" s="85">
        <v>100000</v>
      </c>
      <c r="Q66" s="85"/>
      <c r="R66" s="85">
        <f>19000</f>
        <v>19000</v>
      </c>
      <c r="S66" s="85"/>
      <c r="T66" s="85"/>
      <c r="U66" s="85">
        <f>1000000-19000</f>
        <v>981000</v>
      </c>
      <c r="V66" s="85"/>
      <c r="W66" s="85">
        <v>300000</v>
      </c>
      <c r="X66" s="85"/>
      <c r="Y66" s="85"/>
      <c r="Z66" s="42">
        <f t="shared" si="13"/>
        <v>1400000</v>
      </c>
      <c r="AA66" s="45">
        <f t="shared" si="8"/>
        <v>0</v>
      </c>
    </row>
    <row r="67" spans="1:27" ht="18">
      <c r="A67" s="13"/>
      <c r="B67" s="13"/>
      <c r="C67" s="81" t="s">
        <v>73</v>
      </c>
      <c r="D67" s="17">
        <f t="shared" si="9"/>
        <v>1400000</v>
      </c>
      <c r="E67" s="17"/>
      <c r="F67" s="17">
        <f t="shared" si="7"/>
        <v>1400000</v>
      </c>
      <c r="G67" s="17">
        <v>1400000</v>
      </c>
      <c r="H67" s="53"/>
      <c r="I67" s="53"/>
      <c r="J67" s="84">
        <f t="shared" si="10"/>
        <v>0</v>
      </c>
      <c r="K67" s="48">
        <f t="shared" si="11"/>
        <v>0</v>
      </c>
      <c r="L67" s="73"/>
      <c r="M67" s="42">
        <f t="shared" si="12"/>
        <v>153745</v>
      </c>
      <c r="N67" s="85"/>
      <c r="O67" s="85"/>
      <c r="P67" s="85">
        <v>1000000</v>
      </c>
      <c r="Q67" s="85"/>
      <c r="R67" s="85">
        <f>-19000-827255</f>
        <v>-846255</v>
      </c>
      <c r="S67" s="85"/>
      <c r="T67" s="85">
        <v>400000</v>
      </c>
      <c r="U67" s="85">
        <f>19000+827255</f>
        <v>846255</v>
      </c>
      <c r="V67" s="85"/>
      <c r="W67" s="85"/>
      <c r="X67" s="85"/>
      <c r="Y67" s="85"/>
      <c r="Z67" s="42">
        <f t="shared" si="13"/>
        <v>1400000</v>
      </c>
      <c r="AA67" s="45">
        <f t="shared" si="8"/>
        <v>0</v>
      </c>
    </row>
    <row r="68" spans="1:27" ht="18" hidden="1">
      <c r="A68" s="26"/>
      <c r="B68" s="27"/>
      <c r="C68" s="81"/>
      <c r="D68" s="17"/>
      <c r="E68" s="17"/>
      <c r="F68" s="17"/>
      <c r="G68" s="17"/>
      <c r="H68" s="53"/>
      <c r="I68" s="53"/>
      <c r="J68" s="17" t="e">
        <f t="shared" si="10"/>
        <v>#DIV/0!</v>
      </c>
      <c r="K68" s="48" t="e">
        <f t="shared" si="11"/>
        <v>#DIV/0!</v>
      </c>
      <c r="L68" s="73"/>
      <c r="M68" s="42">
        <f t="shared" si="12"/>
        <v>0</v>
      </c>
      <c r="N68" s="13"/>
      <c r="O68" s="58"/>
      <c r="P68" s="58"/>
      <c r="Q68" s="60"/>
      <c r="R68" s="60"/>
      <c r="S68" s="60"/>
      <c r="T68" s="60"/>
      <c r="U68" s="60"/>
      <c r="V68" s="61"/>
      <c r="W68" s="61"/>
      <c r="X68" s="61"/>
      <c r="Y68" s="63"/>
      <c r="Z68" s="42">
        <f t="shared" si="13"/>
        <v>0</v>
      </c>
      <c r="AA68" s="45">
        <f t="shared" si="8"/>
        <v>0</v>
      </c>
    </row>
    <row r="69" spans="1:27" ht="21" customHeight="1" hidden="1">
      <c r="A69" s="26"/>
      <c r="B69" s="27"/>
      <c r="C69" s="52"/>
      <c r="D69" s="17">
        <f aca="true" t="shared" si="14" ref="D69:D80">E69+F69</f>
        <v>0</v>
      </c>
      <c r="E69" s="21"/>
      <c r="F69" s="53">
        <f aca="true" t="shared" si="15" ref="F69:F80">G69</f>
        <v>0</v>
      </c>
      <c r="G69" s="53"/>
      <c r="H69" s="53"/>
      <c r="I69" s="53"/>
      <c r="J69" s="17" t="e">
        <f t="shared" si="10"/>
        <v>#DIV/0!</v>
      </c>
      <c r="K69" s="48" t="e">
        <f t="shared" si="11"/>
        <v>#DIV/0!</v>
      </c>
      <c r="L69" s="73"/>
      <c r="M69" s="42">
        <f t="shared" si="12"/>
        <v>0</v>
      </c>
      <c r="N69" s="13"/>
      <c r="O69" s="13"/>
      <c r="P69" s="60"/>
      <c r="Q69" s="60"/>
      <c r="R69" s="60"/>
      <c r="S69" s="60"/>
      <c r="T69" s="60"/>
      <c r="U69" s="60"/>
      <c r="V69" s="61"/>
      <c r="W69" s="61"/>
      <c r="X69" s="61"/>
      <c r="Y69" s="63"/>
      <c r="Z69" s="42">
        <f t="shared" si="13"/>
        <v>0</v>
      </c>
      <c r="AA69" s="45">
        <f t="shared" si="8"/>
        <v>0</v>
      </c>
    </row>
    <row r="70" spans="1:27" ht="18" hidden="1">
      <c r="A70" s="26"/>
      <c r="B70" s="27"/>
      <c r="C70" s="52"/>
      <c r="D70" s="17">
        <f t="shared" si="14"/>
        <v>0</v>
      </c>
      <c r="E70" s="21"/>
      <c r="F70" s="53">
        <f t="shared" si="15"/>
        <v>0</v>
      </c>
      <c r="G70" s="54"/>
      <c r="H70" s="53"/>
      <c r="I70" s="53"/>
      <c r="J70" s="17" t="e">
        <f t="shared" si="10"/>
        <v>#DIV/0!</v>
      </c>
      <c r="K70" s="48" t="e">
        <f t="shared" si="11"/>
        <v>#DIV/0!</v>
      </c>
      <c r="L70" s="73"/>
      <c r="M70" s="42">
        <f t="shared" si="12"/>
        <v>0</v>
      </c>
      <c r="N70" s="13"/>
      <c r="O70" s="13"/>
      <c r="P70" s="60"/>
      <c r="Q70" s="60"/>
      <c r="R70" s="60"/>
      <c r="S70" s="60"/>
      <c r="T70" s="60"/>
      <c r="U70" s="60"/>
      <c r="V70" s="61"/>
      <c r="W70" s="61"/>
      <c r="X70" s="61"/>
      <c r="Y70" s="61"/>
      <c r="Z70" s="42">
        <f t="shared" si="13"/>
        <v>0</v>
      </c>
      <c r="AA70" s="45">
        <f t="shared" si="8"/>
        <v>0</v>
      </c>
    </row>
    <row r="71" spans="1:27" ht="18" hidden="1">
      <c r="A71" s="26"/>
      <c r="B71" s="27"/>
      <c r="C71" s="52"/>
      <c r="D71" s="17">
        <f t="shared" si="14"/>
        <v>0</v>
      </c>
      <c r="E71" s="21"/>
      <c r="F71" s="53">
        <f t="shared" si="15"/>
        <v>0</v>
      </c>
      <c r="G71" s="53"/>
      <c r="H71" s="53"/>
      <c r="I71" s="53"/>
      <c r="J71" s="17" t="e">
        <f t="shared" si="10"/>
        <v>#DIV/0!</v>
      </c>
      <c r="K71" s="48" t="e">
        <f t="shared" si="11"/>
        <v>#DIV/0!</v>
      </c>
      <c r="L71" s="73"/>
      <c r="M71" s="42">
        <f t="shared" si="12"/>
        <v>0</v>
      </c>
      <c r="N71" s="13"/>
      <c r="O71" s="13"/>
      <c r="P71" s="60"/>
      <c r="Q71" s="60"/>
      <c r="R71" s="60"/>
      <c r="S71" s="60"/>
      <c r="T71" s="60"/>
      <c r="U71" s="60"/>
      <c r="V71" s="61"/>
      <c r="W71" s="61"/>
      <c r="X71" s="61"/>
      <c r="Y71" s="61"/>
      <c r="Z71" s="42">
        <f t="shared" si="13"/>
        <v>0</v>
      </c>
      <c r="AA71" s="45">
        <f t="shared" si="8"/>
        <v>0</v>
      </c>
    </row>
    <row r="72" spans="1:27" ht="18" hidden="1">
      <c r="A72" s="26"/>
      <c r="B72" s="27"/>
      <c r="C72" s="52"/>
      <c r="D72" s="17">
        <f t="shared" si="14"/>
        <v>0</v>
      </c>
      <c r="E72" s="21"/>
      <c r="F72" s="53">
        <f t="shared" si="15"/>
        <v>0</v>
      </c>
      <c r="G72" s="54"/>
      <c r="H72" s="53"/>
      <c r="I72" s="53"/>
      <c r="J72" s="17" t="e">
        <f t="shared" si="10"/>
        <v>#DIV/0!</v>
      </c>
      <c r="K72" s="48" t="e">
        <f t="shared" si="11"/>
        <v>#DIV/0!</v>
      </c>
      <c r="L72" s="73"/>
      <c r="M72" s="42">
        <f t="shared" si="12"/>
        <v>0</v>
      </c>
      <c r="N72" s="13"/>
      <c r="O72" s="13"/>
      <c r="P72" s="60"/>
      <c r="Q72" s="60"/>
      <c r="R72" s="60"/>
      <c r="S72" s="60"/>
      <c r="T72" s="60"/>
      <c r="U72" s="60"/>
      <c r="V72" s="61"/>
      <c r="W72" s="61"/>
      <c r="X72" s="61"/>
      <c r="Y72" s="61"/>
      <c r="Z72" s="42">
        <f t="shared" si="13"/>
        <v>0</v>
      </c>
      <c r="AA72" s="45">
        <f t="shared" si="8"/>
        <v>0</v>
      </c>
    </row>
    <row r="73" spans="1:27" ht="18" hidden="1">
      <c r="A73" s="26"/>
      <c r="B73" s="27"/>
      <c r="C73" s="52"/>
      <c r="D73" s="17">
        <f t="shared" si="14"/>
        <v>0</v>
      </c>
      <c r="E73" s="21"/>
      <c r="F73" s="53">
        <f t="shared" si="15"/>
        <v>0</v>
      </c>
      <c r="G73" s="53"/>
      <c r="H73" s="53"/>
      <c r="I73" s="53"/>
      <c r="J73" s="17" t="e">
        <f t="shared" si="10"/>
        <v>#DIV/0!</v>
      </c>
      <c r="K73" s="48" t="e">
        <f t="shared" si="11"/>
        <v>#DIV/0!</v>
      </c>
      <c r="L73" s="73"/>
      <c r="M73" s="42">
        <f t="shared" si="12"/>
        <v>0</v>
      </c>
      <c r="N73" s="13"/>
      <c r="O73" s="13"/>
      <c r="P73" s="60"/>
      <c r="Q73" s="60"/>
      <c r="R73" s="60"/>
      <c r="S73" s="60"/>
      <c r="T73" s="60"/>
      <c r="U73" s="60"/>
      <c r="V73" s="61"/>
      <c r="W73" s="61"/>
      <c r="X73" s="61"/>
      <c r="Y73" s="61"/>
      <c r="Z73" s="42">
        <f t="shared" si="13"/>
        <v>0</v>
      </c>
      <c r="AA73" s="45">
        <f t="shared" si="8"/>
        <v>0</v>
      </c>
    </row>
    <row r="74" spans="1:27" ht="18" hidden="1">
      <c r="A74" s="26"/>
      <c r="B74" s="27"/>
      <c r="C74" s="52"/>
      <c r="D74" s="17">
        <f t="shared" si="14"/>
        <v>0</v>
      </c>
      <c r="E74" s="21"/>
      <c r="F74" s="53">
        <f t="shared" si="15"/>
        <v>0</v>
      </c>
      <c r="G74" s="53"/>
      <c r="H74" s="53"/>
      <c r="I74" s="53"/>
      <c r="J74" s="17" t="e">
        <f t="shared" si="10"/>
        <v>#DIV/0!</v>
      </c>
      <c r="K74" s="48" t="e">
        <f t="shared" si="11"/>
        <v>#DIV/0!</v>
      </c>
      <c r="L74" s="73"/>
      <c r="M74" s="42">
        <f t="shared" si="12"/>
        <v>0</v>
      </c>
      <c r="N74" s="13"/>
      <c r="O74" s="13"/>
      <c r="P74" s="60"/>
      <c r="Q74" s="60"/>
      <c r="R74" s="60"/>
      <c r="S74" s="60"/>
      <c r="T74" s="60"/>
      <c r="U74" s="60"/>
      <c r="V74" s="61"/>
      <c r="W74" s="61"/>
      <c r="X74" s="61"/>
      <c r="Y74" s="63"/>
      <c r="Z74" s="42">
        <f t="shared" si="13"/>
        <v>0</v>
      </c>
      <c r="AA74" s="45">
        <f t="shared" si="8"/>
        <v>0</v>
      </c>
    </row>
    <row r="75" spans="1:27" ht="18" hidden="1">
      <c r="A75" s="26"/>
      <c r="B75" s="27"/>
      <c r="C75" s="52"/>
      <c r="D75" s="17">
        <f t="shared" si="14"/>
        <v>0</v>
      </c>
      <c r="E75" s="21"/>
      <c r="F75" s="53">
        <f t="shared" si="15"/>
        <v>0</v>
      </c>
      <c r="G75" s="53"/>
      <c r="H75" s="53"/>
      <c r="I75" s="53"/>
      <c r="J75" s="17" t="e">
        <f t="shared" si="10"/>
        <v>#DIV/0!</v>
      </c>
      <c r="K75" s="48" t="e">
        <f t="shared" si="11"/>
        <v>#DIV/0!</v>
      </c>
      <c r="L75" s="73"/>
      <c r="M75" s="42">
        <f t="shared" si="12"/>
        <v>0</v>
      </c>
      <c r="N75" s="13"/>
      <c r="O75" s="13"/>
      <c r="P75" s="60"/>
      <c r="Q75" s="60"/>
      <c r="R75" s="60"/>
      <c r="S75" s="60"/>
      <c r="T75" s="60"/>
      <c r="U75" s="60"/>
      <c r="V75" s="61"/>
      <c r="W75" s="61"/>
      <c r="X75" s="61"/>
      <c r="Y75" s="61"/>
      <c r="Z75" s="42">
        <f t="shared" si="13"/>
        <v>0</v>
      </c>
      <c r="AA75" s="45">
        <f t="shared" si="8"/>
        <v>0</v>
      </c>
    </row>
    <row r="76" spans="1:27" ht="18" hidden="1">
      <c r="A76" s="26"/>
      <c r="B76" s="27"/>
      <c r="C76" s="52"/>
      <c r="D76" s="17">
        <f t="shared" si="14"/>
        <v>0</v>
      </c>
      <c r="E76" s="21"/>
      <c r="F76" s="53">
        <f t="shared" si="15"/>
        <v>0</v>
      </c>
      <c r="G76" s="53"/>
      <c r="H76" s="53"/>
      <c r="I76" s="53"/>
      <c r="J76" s="17" t="e">
        <f t="shared" si="10"/>
        <v>#DIV/0!</v>
      </c>
      <c r="K76" s="48" t="e">
        <f t="shared" si="11"/>
        <v>#DIV/0!</v>
      </c>
      <c r="L76" s="73"/>
      <c r="M76" s="42">
        <f t="shared" si="12"/>
        <v>0</v>
      </c>
      <c r="N76" s="13"/>
      <c r="O76" s="13"/>
      <c r="P76" s="60"/>
      <c r="Q76" s="60"/>
      <c r="R76" s="60"/>
      <c r="S76" s="60"/>
      <c r="T76" s="60"/>
      <c r="U76" s="60"/>
      <c r="V76" s="61"/>
      <c r="W76" s="58"/>
      <c r="X76" s="58"/>
      <c r="Y76" s="58"/>
      <c r="Z76" s="42">
        <f t="shared" si="13"/>
        <v>0</v>
      </c>
      <c r="AA76" s="45">
        <f t="shared" si="8"/>
        <v>0</v>
      </c>
    </row>
    <row r="77" spans="1:27" ht="18" hidden="1">
      <c r="A77" s="26"/>
      <c r="B77" s="27"/>
      <c r="C77" s="52"/>
      <c r="D77" s="17">
        <f t="shared" si="14"/>
        <v>0</v>
      </c>
      <c r="E77" s="21"/>
      <c r="F77" s="53">
        <f t="shared" si="15"/>
        <v>0</v>
      </c>
      <c r="G77" s="53"/>
      <c r="H77" s="53"/>
      <c r="I77" s="53"/>
      <c r="J77" s="17" t="e">
        <f t="shared" si="10"/>
        <v>#DIV/0!</v>
      </c>
      <c r="K77" s="48" t="e">
        <f t="shared" si="11"/>
        <v>#DIV/0!</v>
      </c>
      <c r="L77" s="73"/>
      <c r="M77" s="42">
        <f t="shared" si="12"/>
        <v>0</v>
      </c>
      <c r="N77" s="13"/>
      <c r="O77" s="13"/>
      <c r="P77" s="60"/>
      <c r="Q77" s="60"/>
      <c r="R77" s="60"/>
      <c r="S77" s="60"/>
      <c r="T77" s="60"/>
      <c r="U77" s="60"/>
      <c r="V77" s="61"/>
      <c r="W77" s="61"/>
      <c r="X77" s="61"/>
      <c r="Y77" s="63"/>
      <c r="Z77" s="42">
        <f t="shared" si="13"/>
        <v>0</v>
      </c>
      <c r="AA77" s="45">
        <f t="shared" si="8"/>
        <v>0</v>
      </c>
    </row>
    <row r="78" spans="1:27" ht="18" hidden="1">
      <c r="A78" s="26"/>
      <c r="B78" s="27"/>
      <c r="C78" s="52"/>
      <c r="D78" s="17">
        <f>E78+F78</f>
        <v>0</v>
      </c>
      <c r="E78" s="21"/>
      <c r="F78" s="53">
        <f t="shared" si="15"/>
        <v>0</v>
      </c>
      <c r="G78" s="53"/>
      <c r="H78" s="53"/>
      <c r="I78" s="53"/>
      <c r="J78" s="17" t="e">
        <f t="shared" si="10"/>
        <v>#DIV/0!</v>
      </c>
      <c r="K78" s="48" t="e">
        <f t="shared" si="11"/>
        <v>#DIV/0!</v>
      </c>
      <c r="L78" s="73"/>
      <c r="M78" s="42">
        <f t="shared" si="12"/>
        <v>0</v>
      </c>
      <c r="N78" s="13"/>
      <c r="O78" s="13"/>
      <c r="P78" s="60"/>
      <c r="Q78" s="60"/>
      <c r="R78" s="60"/>
      <c r="S78" s="60"/>
      <c r="T78" s="60"/>
      <c r="U78" s="60"/>
      <c r="V78" s="61"/>
      <c r="W78" s="61"/>
      <c r="X78" s="61"/>
      <c r="Y78" s="61"/>
      <c r="Z78" s="42">
        <f t="shared" si="13"/>
        <v>0</v>
      </c>
      <c r="AA78" s="45">
        <f t="shared" si="8"/>
        <v>0</v>
      </c>
    </row>
    <row r="79" spans="1:27" ht="18" hidden="1">
      <c r="A79" s="26"/>
      <c r="B79" s="27"/>
      <c r="C79" s="52"/>
      <c r="D79" s="17">
        <f t="shared" si="14"/>
        <v>0</v>
      </c>
      <c r="E79" s="21"/>
      <c r="F79" s="53">
        <f t="shared" si="15"/>
        <v>0</v>
      </c>
      <c r="G79" s="53"/>
      <c r="H79" s="53"/>
      <c r="I79" s="53"/>
      <c r="J79" s="17" t="e">
        <f t="shared" si="10"/>
        <v>#DIV/0!</v>
      </c>
      <c r="K79" s="48" t="e">
        <f t="shared" si="11"/>
        <v>#DIV/0!</v>
      </c>
      <c r="L79" s="73"/>
      <c r="M79" s="42">
        <f t="shared" si="12"/>
        <v>0</v>
      </c>
      <c r="N79" s="13"/>
      <c r="O79" s="13"/>
      <c r="P79" s="60"/>
      <c r="Q79" s="60"/>
      <c r="R79" s="60"/>
      <c r="S79" s="60"/>
      <c r="T79" s="60"/>
      <c r="U79" s="60"/>
      <c r="V79" s="61"/>
      <c r="W79" s="61"/>
      <c r="X79" s="61"/>
      <c r="Y79" s="61"/>
      <c r="Z79" s="42">
        <f t="shared" si="13"/>
        <v>0</v>
      </c>
      <c r="AA79" s="45">
        <f t="shared" si="8"/>
        <v>0</v>
      </c>
    </row>
    <row r="80" spans="1:27" ht="18" hidden="1">
      <c r="A80" s="26"/>
      <c r="B80" s="27"/>
      <c r="C80" s="52"/>
      <c r="D80" s="17">
        <f t="shared" si="14"/>
        <v>0</v>
      </c>
      <c r="E80" s="21"/>
      <c r="F80" s="53">
        <f t="shared" si="15"/>
        <v>0</v>
      </c>
      <c r="G80" s="53"/>
      <c r="H80" s="53"/>
      <c r="I80" s="53"/>
      <c r="J80" s="17" t="e">
        <f t="shared" si="10"/>
        <v>#DIV/0!</v>
      </c>
      <c r="K80" s="48" t="e">
        <f t="shared" si="11"/>
        <v>#DIV/0!</v>
      </c>
      <c r="L80" s="73"/>
      <c r="M80" s="42">
        <f t="shared" si="12"/>
        <v>0</v>
      </c>
      <c r="N80" s="13"/>
      <c r="O80" s="13"/>
      <c r="P80" s="60"/>
      <c r="Q80" s="60"/>
      <c r="R80" s="60"/>
      <c r="S80" s="60"/>
      <c r="T80" s="60"/>
      <c r="U80" s="60"/>
      <c r="V80" s="61"/>
      <c r="W80" s="61"/>
      <c r="X80" s="61"/>
      <c r="Y80" s="64"/>
      <c r="Z80" s="42">
        <f t="shared" si="13"/>
        <v>0</v>
      </c>
      <c r="AA80" s="45">
        <f t="shared" si="8"/>
        <v>0</v>
      </c>
    </row>
    <row r="81" spans="1:27" ht="18">
      <c r="A81" s="116" t="s">
        <v>36</v>
      </c>
      <c r="B81" s="117"/>
      <c r="C81" s="117"/>
      <c r="D81" s="117"/>
      <c r="E81" s="117"/>
      <c r="F81" s="117"/>
      <c r="G81" s="118"/>
      <c r="H81" s="13"/>
      <c r="I81" s="13"/>
      <c r="J81" s="17"/>
      <c r="K81" s="48"/>
      <c r="L81" s="73"/>
      <c r="M81" s="42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42">
        <f t="shared" si="13"/>
        <v>0</v>
      </c>
      <c r="AA81" s="45">
        <f t="shared" si="8"/>
        <v>0</v>
      </c>
    </row>
    <row r="82" spans="1:27" ht="18">
      <c r="A82" s="5">
        <v>2</v>
      </c>
      <c r="B82" s="6"/>
      <c r="C82" s="7" t="s">
        <v>4</v>
      </c>
      <c r="D82" s="8">
        <f>E82+F82</f>
        <v>221900290</v>
      </c>
      <c r="E82" s="55"/>
      <c r="F82" s="8">
        <f>SUM(F83:F110)</f>
        <v>221900290</v>
      </c>
      <c r="G82" s="8">
        <f>SUM(G83:G110)</f>
        <v>221900290</v>
      </c>
      <c r="H82" s="8">
        <f>SUM(H83:H110)</f>
        <v>16193623.82</v>
      </c>
      <c r="I82" s="8"/>
      <c r="J82" s="8">
        <f aca="true" t="shared" si="16" ref="J82:J110">H82/D82*100</f>
        <v>7.297702864651506</v>
      </c>
      <c r="K82" s="8">
        <f>(H82/(N82+O82+P82+Q82+R82))*100</f>
        <v>48.387759781731894</v>
      </c>
      <c r="L82" s="73"/>
      <c r="M82" s="97">
        <f>(N82+O82+P82+Q82+R82)-H82</f>
        <v>17272740.18</v>
      </c>
      <c r="N82" s="59">
        <f>SUM(N83:N110)</f>
        <v>0</v>
      </c>
      <c r="O82" s="47">
        <f>SUM(O83:O110)</f>
        <v>150000</v>
      </c>
      <c r="P82" s="47">
        <f>SUM(P83:P110)</f>
        <v>19400000</v>
      </c>
      <c r="Q82" s="47">
        <f>SUM(Q83:Q110)</f>
        <v>2949500</v>
      </c>
      <c r="R82" s="47">
        <f>SUM(R83:R110)</f>
        <v>10966864</v>
      </c>
      <c r="S82" s="47">
        <f>SUM(S83:S110)</f>
        <v>4813000.85</v>
      </c>
      <c r="T82" s="47">
        <f>SUM(T83:T110)</f>
        <v>26900600</v>
      </c>
      <c r="U82" s="47">
        <f>SUM(U83:U110)</f>
        <v>34368600</v>
      </c>
      <c r="V82" s="47">
        <f>SUM(V83:V110)</f>
        <v>23351600</v>
      </c>
      <c r="W82" s="47">
        <f>SUM(W83:W110)</f>
        <v>29307000.42</v>
      </c>
      <c r="X82" s="47">
        <f>SUM(X83:X110)</f>
        <v>46902500</v>
      </c>
      <c r="Y82" s="47">
        <f>SUM(Y83:Y110)</f>
        <v>22790624.73</v>
      </c>
      <c r="Z82" s="42">
        <f t="shared" si="13"/>
        <v>221900289.99999997</v>
      </c>
      <c r="AA82" s="45">
        <f t="shared" si="8"/>
        <v>0</v>
      </c>
    </row>
    <row r="83" spans="1:27" ht="18">
      <c r="A83" s="56"/>
      <c r="B83" s="18"/>
      <c r="C83" s="81" t="s">
        <v>74</v>
      </c>
      <c r="D83" s="75">
        <f>F83</f>
        <v>1000000</v>
      </c>
      <c r="E83" s="17"/>
      <c r="F83" s="17">
        <f>G83</f>
        <v>1000000</v>
      </c>
      <c r="G83" s="17">
        <v>1000000</v>
      </c>
      <c r="H83" s="54"/>
      <c r="I83" s="54"/>
      <c r="J83" s="84">
        <f t="shared" si="16"/>
        <v>0</v>
      </c>
      <c r="K83" s="95">
        <f>(H83/(N83+O83+P83+Q83+R83))*100</f>
        <v>0</v>
      </c>
      <c r="L83" s="73"/>
      <c r="M83" s="42">
        <f>(N83+O83+P83+Q83+R83)-H83</f>
        <v>35000</v>
      </c>
      <c r="N83" s="86"/>
      <c r="O83" s="86"/>
      <c r="P83" s="86"/>
      <c r="Q83" s="86"/>
      <c r="R83" s="86">
        <v>35000</v>
      </c>
      <c r="S83" s="86">
        <v>15000</v>
      </c>
      <c r="T83" s="86"/>
      <c r="U83" s="86">
        <v>500000</v>
      </c>
      <c r="V83" s="86"/>
      <c r="W83" s="86"/>
      <c r="X83" s="86">
        <v>450000</v>
      </c>
      <c r="Y83" s="86"/>
      <c r="Z83" s="42">
        <f t="shared" si="13"/>
        <v>1000000</v>
      </c>
      <c r="AA83" s="45">
        <f t="shared" si="8"/>
        <v>0</v>
      </c>
    </row>
    <row r="84" spans="1:27" ht="18">
      <c r="A84" s="56"/>
      <c r="B84" s="18"/>
      <c r="C84" s="81" t="s">
        <v>75</v>
      </c>
      <c r="D84" s="75">
        <f>F84</f>
        <v>2000000</v>
      </c>
      <c r="E84" s="17"/>
      <c r="F84" s="17">
        <f>G84</f>
        <v>2000000</v>
      </c>
      <c r="G84" s="17">
        <v>2000000</v>
      </c>
      <c r="H84" s="54"/>
      <c r="I84" s="54"/>
      <c r="J84" s="84">
        <f t="shared" si="16"/>
        <v>0</v>
      </c>
      <c r="K84" s="95">
        <f aca="true" t="shared" si="17" ref="K84:K110">(H84/(N84+O84+P84+Q84+R84))*100</f>
        <v>0</v>
      </c>
      <c r="L84" s="73"/>
      <c r="M84" s="42">
        <f aca="true" t="shared" si="18" ref="M84:M111">(N84+O84+P84+Q84+R84)-H84</f>
        <v>300000</v>
      </c>
      <c r="N84" s="86"/>
      <c r="O84" s="86"/>
      <c r="P84" s="86"/>
      <c r="Q84" s="86"/>
      <c r="R84" s="86">
        <v>300000</v>
      </c>
      <c r="S84" s="86"/>
      <c r="T84" s="86">
        <v>700000</v>
      </c>
      <c r="U84" s="86">
        <v>500000</v>
      </c>
      <c r="V84" s="86"/>
      <c r="W84" s="86"/>
      <c r="X84" s="86">
        <v>500000</v>
      </c>
      <c r="Y84" s="86"/>
      <c r="Z84" s="42">
        <f t="shared" si="13"/>
        <v>2000000</v>
      </c>
      <c r="AA84" s="45">
        <f t="shared" si="8"/>
        <v>0</v>
      </c>
    </row>
    <row r="85" spans="1:27" ht="18">
      <c r="A85" s="56"/>
      <c r="B85" s="18"/>
      <c r="C85" s="81" t="s">
        <v>76</v>
      </c>
      <c r="D85" s="75">
        <f>F85</f>
        <v>2000000</v>
      </c>
      <c r="E85" s="17"/>
      <c r="F85" s="17">
        <f>G85</f>
        <v>2000000</v>
      </c>
      <c r="G85" s="17">
        <v>2000000</v>
      </c>
      <c r="H85" s="54"/>
      <c r="I85" s="54"/>
      <c r="J85" s="84">
        <f t="shared" si="16"/>
        <v>0</v>
      </c>
      <c r="K85" s="95">
        <f t="shared" si="17"/>
        <v>0</v>
      </c>
      <c r="L85" s="73"/>
      <c r="M85" s="42">
        <f t="shared" si="18"/>
        <v>300000</v>
      </c>
      <c r="N85" s="86"/>
      <c r="O85" s="86"/>
      <c r="P85" s="86"/>
      <c r="Q85" s="86"/>
      <c r="R85" s="86">
        <v>300000</v>
      </c>
      <c r="S85" s="86"/>
      <c r="T85" s="86">
        <v>700000</v>
      </c>
      <c r="U85" s="86">
        <v>300000</v>
      </c>
      <c r="V85" s="86">
        <v>300000</v>
      </c>
      <c r="W85" s="86"/>
      <c r="X85" s="86">
        <v>400000</v>
      </c>
      <c r="Y85" s="86"/>
      <c r="Z85" s="42">
        <f t="shared" si="13"/>
        <v>2000000</v>
      </c>
      <c r="AA85" s="45">
        <f t="shared" si="8"/>
        <v>0</v>
      </c>
    </row>
    <row r="86" spans="1:27" ht="36">
      <c r="A86" s="56"/>
      <c r="B86" s="18"/>
      <c r="C86" s="80" t="s">
        <v>44</v>
      </c>
      <c r="D86" s="75">
        <f>E86+F86</f>
        <v>299500</v>
      </c>
      <c r="E86" s="21"/>
      <c r="F86" s="53">
        <f>G86</f>
        <v>299500</v>
      </c>
      <c r="G86" s="53">
        <v>299500</v>
      </c>
      <c r="H86" s="54"/>
      <c r="I86" s="54"/>
      <c r="J86" s="84">
        <f t="shared" si="16"/>
        <v>0</v>
      </c>
      <c r="K86" s="95">
        <f t="shared" si="17"/>
        <v>0</v>
      </c>
      <c r="L86" s="73"/>
      <c r="M86" s="42">
        <f t="shared" si="18"/>
        <v>299500</v>
      </c>
      <c r="N86" s="86"/>
      <c r="O86" s="86">
        <v>150000</v>
      </c>
      <c r="P86" s="86"/>
      <c r="Q86" s="86">
        <v>149500</v>
      </c>
      <c r="R86" s="86"/>
      <c r="S86" s="86"/>
      <c r="T86" s="86"/>
      <c r="U86" s="86"/>
      <c r="V86" s="86"/>
      <c r="W86" s="86"/>
      <c r="X86" s="86"/>
      <c r="Y86" s="86"/>
      <c r="Z86" s="42">
        <f t="shared" si="13"/>
        <v>299500</v>
      </c>
      <c r="AA86" s="45">
        <f t="shared" si="8"/>
        <v>0</v>
      </c>
    </row>
    <row r="87" spans="1:27" ht="18">
      <c r="A87" s="56"/>
      <c r="B87" s="18"/>
      <c r="C87" s="81" t="s">
        <v>77</v>
      </c>
      <c r="D87" s="75">
        <f aca="true" t="shared" si="19" ref="D87:D110">F87</f>
        <v>1703200</v>
      </c>
      <c r="E87" s="17"/>
      <c r="F87" s="17">
        <f aca="true" t="shared" si="20" ref="F87:F110">G87</f>
        <v>1703200</v>
      </c>
      <c r="G87" s="17">
        <v>1703200</v>
      </c>
      <c r="H87" s="54">
        <f>358906.8+4423.32</f>
        <v>363330.12</v>
      </c>
      <c r="I87" s="54"/>
      <c r="J87" s="17">
        <f t="shared" si="16"/>
        <v>21.332205260685768</v>
      </c>
      <c r="K87" s="95">
        <f t="shared" si="17"/>
        <v>36.333012</v>
      </c>
      <c r="L87" s="73"/>
      <c r="M87" s="42">
        <f t="shared" si="18"/>
        <v>636669.88</v>
      </c>
      <c r="N87" s="87"/>
      <c r="O87" s="87"/>
      <c r="P87" s="87">
        <v>300000</v>
      </c>
      <c r="Q87" s="87">
        <v>200000</v>
      </c>
      <c r="R87" s="87">
        <v>500000</v>
      </c>
      <c r="S87" s="87">
        <v>200000</v>
      </c>
      <c r="T87" s="87"/>
      <c r="U87" s="87"/>
      <c r="V87" s="87"/>
      <c r="W87" s="87"/>
      <c r="X87" s="87">
        <v>503200</v>
      </c>
      <c r="Y87" s="87"/>
      <c r="Z87" s="42">
        <f t="shared" si="13"/>
        <v>1703200</v>
      </c>
      <c r="AA87" s="45">
        <f t="shared" si="8"/>
        <v>0</v>
      </c>
    </row>
    <row r="88" spans="1:27" ht="18">
      <c r="A88" s="56"/>
      <c r="B88" s="18"/>
      <c r="C88" s="81" t="s">
        <v>102</v>
      </c>
      <c r="D88" s="75">
        <f>F88</f>
        <v>4000000</v>
      </c>
      <c r="E88" s="17"/>
      <c r="F88" s="17">
        <f>G88</f>
        <v>4000000</v>
      </c>
      <c r="G88" s="17">
        <v>4000000</v>
      </c>
      <c r="H88" s="54"/>
      <c r="I88" s="54"/>
      <c r="J88" s="84"/>
      <c r="K88" s="95">
        <f>(H88/(N88+O88+P88+Q88+R88))*100</f>
        <v>0</v>
      </c>
      <c r="L88" s="73"/>
      <c r="M88" s="42">
        <f>(N88+O88+P88+Q88+R88)-H88</f>
        <v>250000</v>
      </c>
      <c r="N88" s="87"/>
      <c r="O88" s="87"/>
      <c r="P88" s="87"/>
      <c r="Q88" s="87"/>
      <c r="R88" s="87">
        <f>250000</f>
        <v>250000</v>
      </c>
      <c r="S88" s="87"/>
      <c r="T88" s="87"/>
      <c r="U88" s="87"/>
      <c r="V88" s="87"/>
      <c r="W88" s="87">
        <f>1000000-250000</f>
        <v>750000</v>
      </c>
      <c r="X88" s="87">
        <f>1000000</f>
        <v>1000000</v>
      </c>
      <c r="Y88" s="87">
        <f>2000000</f>
        <v>2000000</v>
      </c>
      <c r="Z88" s="42">
        <f>SUM(N88:Y88)</f>
        <v>4000000</v>
      </c>
      <c r="AA88" s="45">
        <f>Z88-D88</f>
        <v>0</v>
      </c>
    </row>
    <row r="89" spans="1:27" ht="18">
      <c r="A89" s="56"/>
      <c r="B89" s="18"/>
      <c r="C89" s="81" t="s">
        <v>101</v>
      </c>
      <c r="D89" s="75">
        <f t="shared" si="19"/>
        <v>1000000</v>
      </c>
      <c r="E89" s="17"/>
      <c r="F89" s="17">
        <f t="shared" si="20"/>
        <v>1000000</v>
      </c>
      <c r="G89" s="17">
        <v>1000000</v>
      </c>
      <c r="H89" s="54">
        <f>21199</f>
        <v>21199</v>
      </c>
      <c r="I89" s="54"/>
      <c r="J89" s="98">
        <f t="shared" si="16"/>
        <v>2.1199</v>
      </c>
      <c r="K89" s="95">
        <f t="shared" si="17"/>
        <v>21.199</v>
      </c>
      <c r="L89" s="73"/>
      <c r="M89" s="42">
        <f t="shared" si="18"/>
        <v>78801</v>
      </c>
      <c r="N89" s="87"/>
      <c r="O89" s="87"/>
      <c r="P89" s="87">
        <v>100000</v>
      </c>
      <c r="Q89" s="87"/>
      <c r="R89" s="87"/>
      <c r="S89" s="87"/>
      <c r="T89" s="87"/>
      <c r="U89" s="87">
        <v>450000</v>
      </c>
      <c r="V89" s="87"/>
      <c r="W89" s="87">
        <v>450000</v>
      </c>
      <c r="X89" s="87"/>
      <c r="Y89" s="87"/>
      <c r="Z89" s="42">
        <f t="shared" si="13"/>
        <v>1000000</v>
      </c>
      <c r="AA89" s="45">
        <f t="shared" si="8"/>
        <v>0</v>
      </c>
    </row>
    <row r="90" spans="1:27" ht="18">
      <c r="A90" s="56"/>
      <c r="B90" s="18"/>
      <c r="C90" s="81" t="s">
        <v>78</v>
      </c>
      <c r="D90" s="75">
        <f t="shared" si="19"/>
        <v>20000000</v>
      </c>
      <c r="E90" s="17"/>
      <c r="F90" s="17">
        <f t="shared" si="20"/>
        <v>20000000</v>
      </c>
      <c r="G90" s="17">
        <v>20000000</v>
      </c>
      <c r="H90" s="54">
        <f>5000000+2023964+15336.5</f>
        <v>7039300.5</v>
      </c>
      <c r="I90" s="54"/>
      <c r="J90" s="75">
        <f t="shared" si="16"/>
        <v>35.1965025</v>
      </c>
      <c r="K90" s="95">
        <f t="shared" si="17"/>
        <v>85.84512804878048</v>
      </c>
      <c r="L90" s="73"/>
      <c r="M90" s="42">
        <f t="shared" si="18"/>
        <v>1160699.5</v>
      </c>
      <c r="N90" s="87"/>
      <c r="O90" s="87"/>
      <c r="P90" s="87">
        <f>10000000-2900000-500000</f>
        <v>6600000</v>
      </c>
      <c r="Q90" s="87">
        <f>-350000</f>
        <v>-350000</v>
      </c>
      <c r="R90" s="87">
        <f>5000000+2900000-1000000-4700000-250000</f>
        <v>1950000</v>
      </c>
      <c r="S90" s="87"/>
      <c r="T90" s="87">
        <f>1000000+3000000</f>
        <v>4000000</v>
      </c>
      <c r="U90" s="87">
        <f>5000000+350000+1700000</f>
        <v>7050000</v>
      </c>
      <c r="V90" s="87"/>
      <c r="W90" s="87">
        <f>250000</f>
        <v>250000</v>
      </c>
      <c r="X90" s="87"/>
      <c r="Y90" s="87">
        <v>500000</v>
      </c>
      <c r="Z90" s="42">
        <f t="shared" si="13"/>
        <v>20000000</v>
      </c>
      <c r="AA90" s="45">
        <f t="shared" si="8"/>
        <v>0</v>
      </c>
    </row>
    <row r="91" spans="1:27" ht="18">
      <c r="A91" s="56"/>
      <c r="B91" s="18"/>
      <c r="C91" s="81" t="s">
        <v>79</v>
      </c>
      <c r="D91" s="75">
        <f t="shared" si="19"/>
        <v>30000000</v>
      </c>
      <c r="E91" s="17"/>
      <c r="F91" s="17">
        <f t="shared" si="20"/>
        <v>30000000</v>
      </c>
      <c r="G91" s="17">
        <v>30000000</v>
      </c>
      <c r="H91" s="54">
        <f>847001.35</f>
        <v>847001.35</v>
      </c>
      <c r="I91" s="54"/>
      <c r="J91" s="75">
        <f t="shared" si="16"/>
        <v>2.8233378333333334</v>
      </c>
      <c r="K91" s="95">
        <f t="shared" si="17"/>
        <v>99.64721764705882</v>
      </c>
      <c r="L91" s="73"/>
      <c r="M91" s="42">
        <f t="shared" si="18"/>
        <v>2998.6500000000233</v>
      </c>
      <c r="N91" s="87"/>
      <c r="O91" s="87"/>
      <c r="P91" s="87">
        <v>500000</v>
      </c>
      <c r="Q91" s="87">
        <f>350000</f>
        <v>350000</v>
      </c>
      <c r="R91" s="87"/>
      <c r="S91" s="87"/>
      <c r="T91" s="87">
        <v>600</v>
      </c>
      <c r="U91" s="87">
        <f>10000000-350000</f>
        <v>9650000</v>
      </c>
      <c r="V91" s="87"/>
      <c r="W91" s="87">
        <v>9377191.27</v>
      </c>
      <c r="X91" s="87">
        <v>6433600</v>
      </c>
      <c r="Y91" s="87">
        <v>3688608.73</v>
      </c>
      <c r="Z91" s="42">
        <f t="shared" si="13"/>
        <v>30000000</v>
      </c>
      <c r="AA91" s="45">
        <f t="shared" si="8"/>
        <v>0</v>
      </c>
    </row>
    <row r="92" spans="1:27" ht="18">
      <c r="A92" s="56"/>
      <c r="B92" s="18"/>
      <c r="C92" s="81" t="s">
        <v>111</v>
      </c>
      <c r="D92" s="75">
        <f t="shared" si="19"/>
        <v>9000</v>
      </c>
      <c r="E92" s="17"/>
      <c r="F92" s="17">
        <f t="shared" si="20"/>
        <v>9000</v>
      </c>
      <c r="G92" s="17">
        <v>9000</v>
      </c>
      <c r="H92" s="54">
        <f>8836.6</f>
        <v>8836.6</v>
      </c>
      <c r="I92" s="54"/>
      <c r="J92" s="75">
        <f t="shared" si="16"/>
        <v>98.18444444444445</v>
      </c>
      <c r="K92" s="95">
        <f t="shared" si="17"/>
        <v>98.18444444444445</v>
      </c>
      <c r="L92" s="73"/>
      <c r="M92" s="42">
        <f t="shared" si="18"/>
        <v>163.39999999999964</v>
      </c>
      <c r="N92" s="87"/>
      <c r="O92" s="87"/>
      <c r="P92" s="87"/>
      <c r="Q92" s="87"/>
      <c r="R92" s="87">
        <f>9000</f>
        <v>9000</v>
      </c>
      <c r="S92" s="87"/>
      <c r="T92" s="87"/>
      <c r="U92" s="87"/>
      <c r="V92" s="87"/>
      <c r="W92" s="87"/>
      <c r="X92" s="87"/>
      <c r="Y92" s="87"/>
      <c r="Z92" s="42">
        <f t="shared" si="13"/>
        <v>9000</v>
      </c>
      <c r="AA92" s="45">
        <f t="shared" si="8"/>
        <v>0</v>
      </c>
    </row>
    <row r="93" spans="1:27" ht="18">
      <c r="A93" s="56"/>
      <c r="B93" s="18"/>
      <c r="C93" s="81" t="s">
        <v>80</v>
      </c>
      <c r="D93" s="75">
        <f t="shared" si="19"/>
        <v>1500000</v>
      </c>
      <c r="E93" s="17"/>
      <c r="F93" s="17">
        <f t="shared" si="20"/>
        <v>1500000</v>
      </c>
      <c r="G93" s="17">
        <f>2000000-500000</f>
        <v>1500000</v>
      </c>
      <c r="H93" s="54"/>
      <c r="I93" s="54"/>
      <c r="J93" s="84">
        <f t="shared" si="16"/>
        <v>0</v>
      </c>
      <c r="K93" s="95">
        <f t="shared" si="17"/>
        <v>0</v>
      </c>
      <c r="L93" s="73"/>
      <c r="M93" s="42">
        <f t="shared" si="18"/>
        <v>500000</v>
      </c>
      <c r="N93" s="87"/>
      <c r="O93" s="87"/>
      <c r="P93" s="87">
        <v>100000</v>
      </c>
      <c r="Q93" s="87"/>
      <c r="R93" s="87">
        <v>400000</v>
      </c>
      <c r="S93" s="87"/>
      <c r="T93" s="87">
        <v>500000</v>
      </c>
      <c r="U93" s="87"/>
      <c r="V93" s="87">
        <v>500000</v>
      </c>
      <c r="W93" s="87"/>
      <c r="X93" s="87"/>
      <c r="Y93" s="87"/>
      <c r="Z93" s="42">
        <f t="shared" si="13"/>
        <v>1500000</v>
      </c>
      <c r="AA93" s="45">
        <f t="shared" si="8"/>
        <v>0</v>
      </c>
    </row>
    <row r="94" spans="1:27" ht="18">
      <c r="A94" s="56"/>
      <c r="B94" s="18"/>
      <c r="C94" s="81" t="s">
        <v>81</v>
      </c>
      <c r="D94" s="75">
        <f t="shared" si="19"/>
        <v>34000000</v>
      </c>
      <c r="E94" s="17"/>
      <c r="F94" s="17">
        <f t="shared" si="20"/>
        <v>34000000</v>
      </c>
      <c r="G94" s="17">
        <f>40000000-5000000-1000000</f>
        <v>34000000</v>
      </c>
      <c r="H94" s="54"/>
      <c r="I94" s="54"/>
      <c r="J94" s="84">
        <f t="shared" si="16"/>
        <v>0</v>
      </c>
      <c r="K94" s="95">
        <f t="shared" si="17"/>
        <v>0</v>
      </c>
      <c r="L94" s="73"/>
      <c r="M94" s="42">
        <f t="shared" si="18"/>
        <v>521004</v>
      </c>
      <c r="N94" s="87"/>
      <c r="O94" s="87"/>
      <c r="P94" s="87"/>
      <c r="Q94" s="87"/>
      <c r="R94" s="87">
        <f>521004+1000000-1000000</f>
        <v>521004</v>
      </c>
      <c r="S94" s="87"/>
      <c r="T94" s="87">
        <f>3000000-1000000</f>
        <v>2000000</v>
      </c>
      <c r="U94" s="87"/>
      <c r="V94" s="87">
        <v>1000000</v>
      </c>
      <c r="W94" s="87"/>
      <c r="X94" s="87">
        <v>20000000</v>
      </c>
      <c r="Y94" s="87">
        <f>15478996-5000000</f>
        <v>10478996</v>
      </c>
      <c r="Z94" s="42">
        <f t="shared" si="13"/>
        <v>34000000</v>
      </c>
      <c r="AA94" s="45">
        <f aca="true" t="shared" si="21" ref="AA94:AA111">Z94-D94</f>
        <v>0</v>
      </c>
    </row>
    <row r="95" spans="1:27" s="93" customFormat="1" ht="18">
      <c r="A95" s="88"/>
      <c r="B95" s="89"/>
      <c r="C95" s="90" t="s">
        <v>82</v>
      </c>
      <c r="D95" s="75">
        <f t="shared" si="19"/>
        <v>700000</v>
      </c>
      <c r="E95" s="75"/>
      <c r="F95" s="75">
        <f t="shared" si="20"/>
        <v>700000</v>
      </c>
      <c r="G95" s="75">
        <v>700000</v>
      </c>
      <c r="H95" s="91">
        <f>13651</f>
        <v>13651</v>
      </c>
      <c r="I95" s="91"/>
      <c r="J95" s="99">
        <f t="shared" si="16"/>
        <v>1.9501428571428572</v>
      </c>
      <c r="K95" s="95">
        <f t="shared" si="17"/>
        <v>99.64233576642336</v>
      </c>
      <c r="L95" s="92"/>
      <c r="M95" s="42">
        <f t="shared" si="18"/>
        <v>49</v>
      </c>
      <c r="N95" s="87"/>
      <c r="O95" s="87"/>
      <c r="P95" s="87"/>
      <c r="Q95" s="87">
        <f>13700</f>
        <v>13700</v>
      </c>
      <c r="R95" s="87"/>
      <c r="S95" s="87"/>
      <c r="T95" s="87">
        <f>100000-13700</f>
        <v>86300</v>
      </c>
      <c r="U95" s="87">
        <v>200000</v>
      </c>
      <c r="V95" s="87">
        <v>400000</v>
      </c>
      <c r="W95" s="87"/>
      <c r="X95" s="87"/>
      <c r="Y95" s="87"/>
      <c r="Z95" s="42">
        <f aca="true" t="shared" si="22" ref="Z95:Z111">SUM(N95:Y95)</f>
        <v>700000</v>
      </c>
      <c r="AA95" s="45">
        <f t="shared" si="21"/>
        <v>0</v>
      </c>
    </row>
    <row r="96" spans="1:27" ht="18">
      <c r="A96" s="56"/>
      <c r="B96" s="18"/>
      <c r="C96" s="81" t="s">
        <v>83</v>
      </c>
      <c r="D96" s="75">
        <f t="shared" si="19"/>
        <v>600000</v>
      </c>
      <c r="E96" s="17"/>
      <c r="F96" s="17">
        <f t="shared" si="20"/>
        <v>600000</v>
      </c>
      <c r="G96" s="17">
        <v>600000</v>
      </c>
      <c r="H96" s="54"/>
      <c r="I96" s="54"/>
      <c r="J96" s="84">
        <f t="shared" si="16"/>
        <v>0</v>
      </c>
      <c r="K96" s="95" t="e">
        <f t="shared" si="17"/>
        <v>#DIV/0!</v>
      </c>
      <c r="L96" s="73"/>
      <c r="M96" s="42">
        <f t="shared" si="18"/>
        <v>0</v>
      </c>
      <c r="N96" s="87"/>
      <c r="O96" s="87"/>
      <c r="P96" s="87"/>
      <c r="Q96" s="87"/>
      <c r="R96" s="87"/>
      <c r="S96" s="87"/>
      <c r="T96" s="87">
        <v>300000</v>
      </c>
      <c r="U96" s="87"/>
      <c r="V96" s="87"/>
      <c r="W96" s="87"/>
      <c r="X96" s="87">
        <v>300000</v>
      </c>
      <c r="Y96" s="87"/>
      <c r="Z96" s="42">
        <f t="shared" si="22"/>
        <v>600000</v>
      </c>
      <c r="AA96" s="45">
        <f t="shared" si="21"/>
        <v>0</v>
      </c>
    </row>
    <row r="97" spans="1:27" ht="24" customHeight="1">
      <c r="A97" s="56"/>
      <c r="B97" s="18"/>
      <c r="C97" s="81" t="s">
        <v>84</v>
      </c>
      <c r="D97" s="75">
        <f t="shared" si="19"/>
        <v>500000</v>
      </c>
      <c r="E97" s="17"/>
      <c r="F97" s="17">
        <f t="shared" si="20"/>
        <v>500000</v>
      </c>
      <c r="G97" s="17">
        <v>500000</v>
      </c>
      <c r="H97" s="54"/>
      <c r="I97" s="54"/>
      <c r="J97" s="84">
        <f t="shared" si="16"/>
        <v>0</v>
      </c>
      <c r="K97" s="95" t="e">
        <f>(H97/(N97+O97+P97+Q97+R97))*100</f>
        <v>#DIV/0!</v>
      </c>
      <c r="L97" s="73"/>
      <c r="M97" s="42">
        <f t="shared" si="18"/>
        <v>0</v>
      </c>
      <c r="N97" s="87"/>
      <c r="O97" s="87"/>
      <c r="P97" s="87"/>
      <c r="Q97" s="87"/>
      <c r="R97" s="87"/>
      <c r="S97" s="87"/>
      <c r="T97" s="87"/>
      <c r="U97" s="87"/>
      <c r="V97" s="87">
        <v>251600</v>
      </c>
      <c r="W97" s="87">
        <v>248400</v>
      </c>
      <c r="X97" s="87"/>
      <c r="Y97" s="87"/>
      <c r="Z97" s="42">
        <f t="shared" si="22"/>
        <v>500000</v>
      </c>
      <c r="AA97" s="45">
        <f t="shared" si="21"/>
        <v>0</v>
      </c>
    </row>
    <row r="98" spans="1:27" ht="24" customHeight="1">
      <c r="A98" s="56"/>
      <c r="B98" s="18"/>
      <c r="C98" s="81" t="s">
        <v>85</v>
      </c>
      <c r="D98" s="75">
        <f t="shared" si="19"/>
        <v>1241860</v>
      </c>
      <c r="E98" s="17"/>
      <c r="F98" s="17">
        <f t="shared" si="20"/>
        <v>1241860</v>
      </c>
      <c r="G98" s="17">
        <v>1241860</v>
      </c>
      <c r="H98" s="54"/>
      <c r="I98" s="54"/>
      <c r="J98" s="84">
        <f t="shared" si="16"/>
        <v>0</v>
      </c>
      <c r="K98" s="95">
        <f t="shared" si="17"/>
        <v>0</v>
      </c>
      <c r="L98" s="73"/>
      <c r="M98" s="42">
        <f t="shared" si="18"/>
        <v>1041860</v>
      </c>
      <c r="N98" s="87"/>
      <c r="O98" s="87"/>
      <c r="P98" s="87">
        <v>600000</v>
      </c>
      <c r="Q98" s="87">
        <v>200000</v>
      </c>
      <c r="R98" s="87">
        <v>241860</v>
      </c>
      <c r="S98" s="87"/>
      <c r="T98" s="87"/>
      <c r="U98" s="87"/>
      <c r="V98" s="87"/>
      <c r="W98" s="87"/>
      <c r="X98" s="87">
        <v>200000</v>
      </c>
      <c r="Y98" s="87"/>
      <c r="Z98" s="42">
        <f t="shared" si="22"/>
        <v>1241860</v>
      </c>
      <c r="AA98" s="45">
        <f t="shared" si="21"/>
        <v>0</v>
      </c>
    </row>
    <row r="99" spans="1:27" ht="24" customHeight="1">
      <c r="A99" s="56"/>
      <c r="B99" s="18"/>
      <c r="C99" s="81" t="s">
        <v>86</v>
      </c>
      <c r="D99" s="75">
        <f t="shared" si="19"/>
        <v>3049770</v>
      </c>
      <c r="E99" s="17"/>
      <c r="F99" s="17">
        <f t="shared" si="20"/>
        <v>3049770</v>
      </c>
      <c r="G99" s="17">
        <f>3753010-703240</f>
        <v>3049770</v>
      </c>
      <c r="H99" s="54"/>
      <c r="I99" s="54"/>
      <c r="J99" s="84">
        <f t="shared" si="16"/>
        <v>0</v>
      </c>
      <c r="K99" s="95">
        <f t="shared" si="17"/>
        <v>0</v>
      </c>
      <c r="L99" s="73"/>
      <c r="M99" s="42">
        <f t="shared" si="18"/>
        <v>219000</v>
      </c>
      <c r="N99" s="87"/>
      <c r="O99" s="87"/>
      <c r="P99" s="87"/>
      <c r="Q99" s="87"/>
      <c r="R99" s="87">
        <f>600000-381000</f>
        <v>219000</v>
      </c>
      <c r="S99" s="87"/>
      <c r="T99" s="87">
        <f>1000000-322240</f>
        <v>677760</v>
      </c>
      <c r="U99" s="87">
        <v>453010</v>
      </c>
      <c r="V99" s="87">
        <v>400000</v>
      </c>
      <c r="W99" s="87">
        <v>300000</v>
      </c>
      <c r="X99" s="87">
        <v>1000000</v>
      </c>
      <c r="Y99" s="87"/>
      <c r="Z99" s="42">
        <f t="shared" si="22"/>
        <v>3049770</v>
      </c>
      <c r="AA99" s="45">
        <f t="shared" si="21"/>
        <v>0</v>
      </c>
    </row>
    <row r="100" spans="1:27" ht="18">
      <c r="A100" s="56"/>
      <c r="B100" s="18"/>
      <c r="C100" s="81" t="s">
        <v>87</v>
      </c>
      <c r="D100" s="17">
        <f t="shared" si="19"/>
        <v>21323020</v>
      </c>
      <c r="E100" s="17"/>
      <c r="F100" s="17">
        <f t="shared" si="20"/>
        <v>21323020</v>
      </c>
      <c r="G100" s="17">
        <v>21323020</v>
      </c>
      <c r="H100" s="54">
        <f>2217023.25</f>
        <v>2217023.25</v>
      </c>
      <c r="I100" s="54"/>
      <c r="J100" s="98">
        <f t="shared" si="16"/>
        <v>10.397322940183894</v>
      </c>
      <c r="K100" s="95">
        <f t="shared" si="17"/>
        <v>42.747686211750185</v>
      </c>
      <c r="L100" s="73"/>
      <c r="M100" s="42">
        <f t="shared" si="18"/>
        <v>2969276.75</v>
      </c>
      <c r="N100" s="87"/>
      <c r="O100" s="87"/>
      <c r="P100" s="87">
        <f>4000000-381000</f>
        <v>3619000</v>
      </c>
      <c r="Q100" s="87">
        <f>-543700</f>
        <v>-543700</v>
      </c>
      <c r="R100" s="87">
        <f>1200000+381000+530000</f>
        <v>2111000</v>
      </c>
      <c r="S100" s="87">
        <v>1800000</v>
      </c>
      <c r="T100" s="87">
        <f>1500000+13700</f>
        <v>1513700</v>
      </c>
      <c r="U100" s="87">
        <v>1065590</v>
      </c>
      <c r="V100" s="87">
        <v>1500000</v>
      </c>
      <c r="W100" s="87">
        <v>1934410</v>
      </c>
      <c r="X100" s="87">
        <v>6200000</v>
      </c>
      <c r="Y100" s="87">
        <v>2123020</v>
      </c>
      <c r="Z100" s="42">
        <f t="shared" si="22"/>
        <v>21323020</v>
      </c>
      <c r="AA100" s="45">
        <f t="shared" si="21"/>
        <v>0</v>
      </c>
    </row>
    <row r="101" spans="1:27" ht="18">
      <c r="A101" s="56"/>
      <c r="B101" s="18"/>
      <c r="C101" s="81" t="s">
        <v>88</v>
      </c>
      <c r="D101" s="17">
        <f t="shared" si="19"/>
        <v>10000000</v>
      </c>
      <c r="E101" s="17"/>
      <c r="F101" s="17">
        <f t="shared" si="20"/>
        <v>10000000</v>
      </c>
      <c r="G101" s="17">
        <v>10000000</v>
      </c>
      <c r="H101" s="54">
        <f>265304</f>
        <v>265304</v>
      </c>
      <c r="I101" s="54"/>
      <c r="J101" s="99">
        <f t="shared" si="16"/>
        <v>2.65304</v>
      </c>
      <c r="K101" s="95">
        <f t="shared" si="17"/>
        <v>73.69555555555556</v>
      </c>
      <c r="L101" s="73"/>
      <c r="M101" s="42">
        <f t="shared" si="18"/>
        <v>94696</v>
      </c>
      <c r="N101" s="87"/>
      <c r="O101" s="87"/>
      <c r="P101" s="87"/>
      <c r="Q101" s="87">
        <f>230000</f>
        <v>230000</v>
      </c>
      <c r="R101" s="87">
        <f>360000-230000</f>
        <v>130000</v>
      </c>
      <c r="S101" s="87"/>
      <c r="T101" s="87"/>
      <c r="U101" s="87">
        <v>3000000</v>
      </c>
      <c r="V101" s="87">
        <v>3000000</v>
      </c>
      <c r="W101" s="87">
        <v>3000000</v>
      </c>
      <c r="X101" s="87">
        <v>340000</v>
      </c>
      <c r="Y101" s="87">
        <v>300000</v>
      </c>
      <c r="Z101" s="42">
        <f t="shared" si="22"/>
        <v>10000000</v>
      </c>
      <c r="AA101" s="45">
        <f t="shared" si="21"/>
        <v>0</v>
      </c>
    </row>
    <row r="102" spans="1:27" ht="18">
      <c r="A102" s="56"/>
      <c r="B102" s="18"/>
      <c r="C102" s="81" t="s">
        <v>89</v>
      </c>
      <c r="D102" s="17">
        <f t="shared" si="19"/>
        <v>950000</v>
      </c>
      <c r="E102" s="17"/>
      <c r="F102" s="17">
        <f t="shared" si="20"/>
        <v>950000</v>
      </c>
      <c r="G102" s="17">
        <v>950000</v>
      </c>
      <c r="H102" s="54">
        <f>58555</f>
        <v>58555</v>
      </c>
      <c r="I102" s="54"/>
      <c r="J102" s="17">
        <f t="shared" si="16"/>
        <v>6.163684210526315</v>
      </c>
      <c r="K102" s="95">
        <f t="shared" si="17"/>
        <v>97.59166666666667</v>
      </c>
      <c r="L102" s="73"/>
      <c r="M102" s="42">
        <f t="shared" si="18"/>
        <v>1445</v>
      </c>
      <c r="N102" s="87"/>
      <c r="O102" s="87"/>
      <c r="P102" s="87"/>
      <c r="Q102" s="87"/>
      <c r="R102" s="87">
        <f>60000</f>
        <v>60000</v>
      </c>
      <c r="S102" s="87"/>
      <c r="T102" s="87"/>
      <c r="U102" s="87"/>
      <c r="V102" s="87"/>
      <c r="W102" s="87"/>
      <c r="X102" s="87">
        <f>950000-60000</f>
        <v>890000</v>
      </c>
      <c r="Y102" s="87"/>
      <c r="Z102" s="42">
        <f t="shared" si="22"/>
        <v>950000</v>
      </c>
      <c r="AA102" s="45">
        <f t="shared" si="21"/>
        <v>0</v>
      </c>
    </row>
    <row r="103" spans="1:27" ht="18">
      <c r="A103" s="56"/>
      <c r="B103" s="18"/>
      <c r="C103" s="81" t="s">
        <v>90</v>
      </c>
      <c r="D103" s="17">
        <f t="shared" si="19"/>
        <v>37000000</v>
      </c>
      <c r="E103" s="17"/>
      <c r="F103" s="17">
        <f t="shared" si="20"/>
        <v>37000000</v>
      </c>
      <c r="G103" s="17">
        <v>37000000</v>
      </c>
      <c r="H103" s="54"/>
      <c r="I103" s="54"/>
      <c r="J103" s="84">
        <f t="shared" si="16"/>
        <v>0</v>
      </c>
      <c r="K103" s="95">
        <f t="shared" si="17"/>
        <v>0</v>
      </c>
      <c r="L103" s="73"/>
      <c r="M103" s="42">
        <f t="shared" si="18"/>
        <v>2140000</v>
      </c>
      <c r="N103" s="87"/>
      <c r="O103" s="87"/>
      <c r="P103" s="87"/>
      <c r="Q103" s="87">
        <v>2200000</v>
      </c>
      <c r="R103" s="87">
        <f>-60000</f>
        <v>-60000</v>
      </c>
      <c r="S103" s="87">
        <v>2798000.85</v>
      </c>
      <c r="T103" s="87">
        <v>5000000</v>
      </c>
      <c r="U103" s="87">
        <v>5000000</v>
      </c>
      <c r="V103" s="87">
        <v>11000000</v>
      </c>
      <c r="W103" s="87">
        <v>7996999.15</v>
      </c>
      <c r="X103" s="87">
        <f>3005000+60000</f>
        <v>3065000</v>
      </c>
      <c r="Y103" s="87"/>
      <c r="Z103" s="42">
        <f t="shared" si="22"/>
        <v>37000000</v>
      </c>
      <c r="AA103" s="45">
        <f t="shared" si="21"/>
        <v>0</v>
      </c>
    </row>
    <row r="104" spans="1:27" ht="18">
      <c r="A104" s="56"/>
      <c r="B104" s="18"/>
      <c r="C104" s="81" t="s">
        <v>91</v>
      </c>
      <c r="D104" s="17">
        <f t="shared" si="19"/>
        <v>18000000</v>
      </c>
      <c r="E104" s="17"/>
      <c r="F104" s="17">
        <f t="shared" si="20"/>
        <v>18000000</v>
      </c>
      <c r="G104" s="17">
        <v>18000000</v>
      </c>
      <c r="H104" s="54">
        <f>983986</f>
        <v>983986</v>
      </c>
      <c r="I104" s="54"/>
      <c r="J104" s="17">
        <f t="shared" si="16"/>
        <v>5.4665888888888885</v>
      </c>
      <c r="K104" s="95">
        <f t="shared" si="17"/>
        <v>98.3986</v>
      </c>
      <c r="L104" s="73"/>
      <c r="M104" s="42">
        <f t="shared" si="18"/>
        <v>16014</v>
      </c>
      <c r="N104" s="87"/>
      <c r="O104" s="87"/>
      <c r="P104" s="87">
        <v>500000</v>
      </c>
      <c r="Q104" s="87">
        <f>200000+300000</f>
        <v>500000</v>
      </c>
      <c r="R104" s="87">
        <f>300000-300000</f>
        <v>0</v>
      </c>
      <c r="S104" s="87"/>
      <c r="T104" s="87">
        <v>2000000</v>
      </c>
      <c r="U104" s="87">
        <v>2000000</v>
      </c>
      <c r="V104" s="87">
        <v>2000000</v>
      </c>
      <c r="W104" s="87">
        <v>5000000</v>
      </c>
      <c r="X104" s="87">
        <v>3000000</v>
      </c>
      <c r="Y104" s="87">
        <v>3000000</v>
      </c>
      <c r="Z104" s="42">
        <f t="shared" si="22"/>
        <v>18000000</v>
      </c>
      <c r="AA104" s="45">
        <f t="shared" si="21"/>
        <v>0</v>
      </c>
    </row>
    <row r="105" spans="1:27" ht="18">
      <c r="A105" s="56"/>
      <c r="B105" s="18"/>
      <c r="C105" s="81" t="s">
        <v>92</v>
      </c>
      <c r="D105" s="17">
        <f t="shared" si="19"/>
        <v>2000000</v>
      </c>
      <c r="E105" s="17"/>
      <c r="F105" s="17">
        <f t="shared" si="20"/>
        <v>2000000</v>
      </c>
      <c r="G105" s="17">
        <v>2000000</v>
      </c>
      <c r="H105" s="54"/>
      <c r="I105" s="54"/>
      <c r="J105" s="84">
        <f t="shared" si="16"/>
        <v>0</v>
      </c>
      <c r="K105" s="95">
        <f t="shared" si="17"/>
        <v>0</v>
      </c>
      <c r="L105" s="73"/>
      <c r="M105" s="42">
        <f t="shared" si="18"/>
        <v>400000</v>
      </c>
      <c r="N105" s="87"/>
      <c r="O105" s="87"/>
      <c r="P105" s="87">
        <v>100000</v>
      </c>
      <c r="Q105" s="87"/>
      <c r="R105" s="87">
        <v>300000</v>
      </c>
      <c r="S105" s="87"/>
      <c r="T105" s="87">
        <v>600000</v>
      </c>
      <c r="U105" s="87"/>
      <c r="V105" s="87">
        <v>1000000</v>
      </c>
      <c r="W105" s="87"/>
      <c r="X105" s="87"/>
      <c r="Y105" s="87"/>
      <c r="Z105" s="42">
        <f t="shared" si="22"/>
        <v>2000000</v>
      </c>
      <c r="AA105" s="45">
        <f t="shared" si="21"/>
        <v>0</v>
      </c>
    </row>
    <row r="106" spans="1:27" ht="21.75" customHeight="1">
      <c r="A106" s="56"/>
      <c r="B106" s="18"/>
      <c r="C106" s="81" t="s">
        <v>96</v>
      </c>
      <c r="D106" s="17">
        <f t="shared" si="19"/>
        <v>703240</v>
      </c>
      <c r="E106" s="17"/>
      <c r="F106" s="17">
        <f t="shared" si="20"/>
        <v>703240</v>
      </c>
      <c r="G106" s="17">
        <v>703240</v>
      </c>
      <c r="H106" s="54">
        <f>380144.4</f>
        <v>380144.4</v>
      </c>
      <c r="I106" s="54"/>
      <c r="J106" s="17">
        <f t="shared" si="16"/>
        <v>54.0561401512997</v>
      </c>
      <c r="K106" s="95">
        <f t="shared" si="17"/>
        <v>99.77543307086614</v>
      </c>
      <c r="L106" s="73"/>
      <c r="M106" s="42">
        <f t="shared" si="18"/>
        <v>855.5999999999767</v>
      </c>
      <c r="N106" s="87"/>
      <c r="O106" s="87"/>
      <c r="P106" s="87">
        <f>381000</f>
        <v>381000</v>
      </c>
      <c r="Q106" s="87"/>
      <c r="R106" s="87">
        <f>381000-381000</f>
        <v>0</v>
      </c>
      <c r="S106" s="87"/>
      <c r="T106" s="87">
        <f>322240</f>
        <v>322240</v>
      </c>
      <c r="U106" s="87"/>
      <c r="V106" s="87"/>
      <c r="W106" s="87"/>
      <c r="X106" s="87"/>
      <c r="Y106" s="87"/>
      <c r="Z106" s="42">
        <f t="shared" si="22"/>
        <v>703240</v>
      </c>
      <c r="AA106" s="45">
        <f t="shared" si="21"/>
        <v>0</v>
      </c>
    </row>
    <row r="107" spans="1:27" ht="36">
      <c r="A107" s="56"/>
      <c r="B107" s="18"/>
      <c r="C107" s="81" t="s">
        <v>93</v>
      </c>
      <c r="D107" s="17">
        <f t="shared" si="19"/>
        <v>1002780</v>
      </c>
      <c r="E107" s="17"/>
      <c r="F107" s="17">
        <f t="shared" si="20"/>
        <v>1002780</v>
      </c>
      <c r="G107" s="17">
        <f>9002780-8000000</f>
        <v>1002780</v>
      </c>
      <c r="H107" s="54"/>
      <c r="I107" s="54"/>
      <c r="J107" s="84">
        <f t="shared" si="16"/>
        <v>0</v>
      </c>
      <c r="K107" s="95">
        <f t="shared" si="17"/>
        <v>0</v>
      </c>
      <c r="L107" s="73"/>
      <c r="M107" s="42">
        <f t="shared" si="18"/>
        <v>600000</v>
      </c>
      <c r="N107" s="87"/>
      <c r="O107" s="87"/>
      <c r="P107" s="87"/>
      <c r="Q107" s="87"/>
      <c r="R107" s="87">
        <v>600000</v>
      </c>
      <c r="S107" s="87"/>
      <c r="T107" s="87">
        <f>3000000-3000000</f>
        <v>0</v>
      </c>
      <c r="U107" s="87"/>
      <c r="V107" s="87">
        <f>1000000-1000000</f>
        <v>0</v>
      </c>
      <c r="W107" s="87">
        <f>1000000-1000000</f>
        <v>0</v>
      </c>
      <c r="X107" s="87">
        <f>1402780-1000000</f>
        <v>402780</v>
      </c>
      <c r="Y107" s="87">
        <f>2000000-2000000</f>
        <v>0</v>
      </c>
      <c r="Z107" s="42">
        <f t="shared" si="22"/>
        <v>1002780</v>
      </c>
      <c r="AA107" s="45">
        <f t="shared" si="21"/>
        <v>0</v>
      </c>
    </row>
    <row r="108" spans="1:27" ht="36">
      <c r="A108" s="56"/>
      <c r="B108" s="18"/>
      <c r="C108" s="81" t="s">
        <v>103</v>
      </c>
      <c r="D108" s="17">
        <f t="shared" si="19"/>
        <v>4000000</v>
      </c>
      <c r="E108" s="17"/>
      <c r="F108" s="17">
        <f t="shared" si="20"/>
        <v>4000000</v>
      </c>
      <c r="G108" s="17">
        <v>4000000</v>
      </c>
      <c r="H108" s="54"/>
      <c r="I108" s="54"/>
      <c r="J108" s="84"/>
      <c r="K108" s="95" t="e">
        <f t="shared" si="17"/>
        <v>#DIV/0!</v>
      </c>
      <c r="L108" s="73"/>
      <c r="M108" s="42">
        <f t="shared" si="18"/>
        <v>0</v>
      </c>
      <c r="N108" s="87"/>
      <c r="O108" s="87"/>
      <c r="P108" s="87"/>
      <c r="Q108" s="87"/>
      <c r="R108" s="87"/>
      <c r="S108" s="87"/>
      <c r="T108" s="87">
        <f>3000000</f>
        <v>3000000</v>
      </c>
      <c r="U108" s="87"/>
      <c r="V108" s="87">
        <f>1000000</f>
        <v>1000000</v>
      </c>
      <c r="W108" s="87"/>
      <c r="X108" s="87"/>
      <c r="Y108" s="87"/>
      <c r="Z108" s="42">
        <f t="shared" si="22"/>
        <v>4000000</v>
      </c>
      <c r="AA108" s="45">
        <f t="shared" si="21"/>
        <v>0</v>
      </c>
    </row>
    <row r="109" spans="1:27" ht="36">
      <c r="A109" s="56"/>
      <c r="B109" s="18"/>
      <c r="C109" s="81" t="s">
        <v>94</v>
      </c>
      <c r="D109" s="17">
        <f t="shared" si="19"/>
        <v>22317920</v>
      </c>
      <c r="E109" s="17"/>
      <c r="F109" s="17">
        <f t="shared" si="20"/>
        <v>22317920</v>
      </c>
      <c r="G109" s="17">
        <v>22317920</v>
      </c>
      <c r="H109" s="54">
        <f>1531485.6+2456653.03+7153.97</f>
        <v>3995292.6</v>
      </c>
      <c r="I109" s="54"/>
      <c r="J109" s="17">
        <f t="shared" si="16"/>
        <v>17.90172471269724</v>
      </c>
      <c r="K109" s="95">
        <f t="shared" si="17"/>
        <v>42.05571157894737</v>
      </c>
      <c r="L109" s="73"/>
      <c r="M109" s="42">
        <f t="shared" si="18"/>
        <v>5504707.4</v>
      </c>
      <c r="N109" s="87"/>
      <c r="O109" s="87"/>
      <c r="P109" s="87">
        <f>10000000-2900000-500000</f>
        <v>6600000</v>
      </c>
      <c r="Q109" s="87"/>
      <c r="R109" s="87">
        <v>2900000</v>
      </c>
      <c r="S109" s="87"/>
      <c r="T109" s="87">
        <v>5300000</v>
      </c>
      <c r="U109" s="87">
        <v>4000000</v>
      </c>
      <c r="V109" s="87">
        <v>1000000</v>
      </c>
      <c r="W109" s="87"/>
      <c r="X109" s="87">
        <v>2017920</v>
      </c>
      <c r="Y109" s="87">
        <v>500000</v>
      </c>
      <c r="Z109" s="42">
        <f t="shared" si="22"/>
        <v>22317920</v>
      </c>
      <c r="AA109" s="45">
        <f t="shared" si="21"/>
        <v>0</v>
      </c>
    </row>
    <row r="110" spans="1:27" ht="18">
      <c r="A110" s="56"/>
      <c r="B110" s="18"/>
      <c r="C110" s="81" t="s">
        <v>95</v>
      </c>
      <c r="D110" s="17">
        <f t="shared" si="19"/>
        <v>1000000</v>
      </c>
      <c r="E110" s="17"/>
      <c r="F110" s="17">
        <f t="shared" si="20"/>
        <v>1000000</v>
      </c>
      <c r="G110" s="17">
        <v>1000000</v>
      </c>
      <c r="H110" s="54"/>
      <c r="I110" s="54"/>
      <c r="J110" s="84">
        <f t="shared" si="16"/>
        <v>0</v>
      </c>
      <c r="K110" s="95">
        <f t="shared" si="17"/>
        <v>0</v>
      </c>
      <c r="L110" s="73"/>
      <c r="M110" s="42">
        <f t="shared" si="18"/>
        <v>200000</v>
      </c>
      <c r="N110" s="87"/>
      <c r="O110" s="87"/>
      <c r="P110" s="87"/>
      <c r="Q110" s="87"/>
      <c r="R110" s="87">
        <v>200000</v>
      </c>
      <c r="S110" s="87"/>
      <c r="T110" s="87">
        <v>200000</v>
      </c>
      <c r="U110" s="87">
        <v>200000</v>
      </c>
      <c r="V110" s="87"/>
      <c r="W110" s="87"/>
      <c r="X110" s="87">
        <v>200000</v>
      </c>
      <c r="Y110" s="87">
        <v>200000</v>
      </c>
      <c r="Z110" s="42">
        <f t="shared" si="22"/>
        <v>1000000</v>
      </c>
      <c r="AA110" s="45">
        <f t="shared" si="21"/>
        <v>0</v>
      </c>
    </row>
    <row r="111" spans="1:27" ht="18">
      <c r="A111" s="22"/>
      <c r="B111" s="6"/>
      <c r="C111" s="23" t="s">
        <v>12</v>
      </c>
      <c r="D111" s="8">
        <f>D11+D82</f>
        <v>408469613.43</v>
      </c>
      <c r="E111" s="8">
        <f>E11+E82</f>
        <v>148446387.97</v>
      </c>
      <c r="F111" s="8">
        <f>F11+F82</f>
        <v>260023225.45999998</v>
      </c>
      <c r="G111" s="8">
        <f>G11+G82</f>
        <v>260005736.95999998</v>
      </c>
      <c r="H111" s="8">
        <f>H11+H82</f>
        <v>100464143.44</v>
      </c>
      <c r="I111" s="8"/>
      <c r="J111" s="8">
        <f>H111/D111*100</f>
        <v>24.595255102670365</v>
      </c>
      <c r="K111" s="8">
        <f>(H111/(N111+O111+P111+Q111+R111))*100</f>
        <v>80.9528474260064</v>
      </c>
      <c r="L111" s="73"/>
      <c r="M111" s="47">
        <f t="shared" si="18"/>
        <v>23637906.86999999</v>
      </c>
      <c r="N111" s="47">
        <f aca="true" t="shared" si="23" ref="N111:Y111">N82+N28+N11</f>
        <v>3100000</v>
      </c>
      <c r="O111" s="47">
        <f t="shared" si="23"/>
        <v>18754577.81</v>
      </c>
      <c r="P111" s="47">
        <f t="shared" si="23"/>
        <v>30315714.619999997</v>
      </c>
      <c r="Q111" s="47">
        <f t="shared" si="23"/>
        <v>26673111.33</v>
      </c>
      <c r="R111" s="47">
        <f t="shared" si="23"/>
        <v>45258646.55</v>
      </c>
      <c r="S111" s="47">
        <f t="shared" si="23"/>
        <v>15630442.4</v>
      </c>
      <c r="T111" s="47">
        <f t="shared" si="23"/>
        <v>47406892.89</v>
      </c>
      <c r="U111" s="47">
        <f t="shared" si="23"/>
        <v>59796145.57</v>
      </c>
      <c r="V111" s="47">
        <f t="shared" si="23"/>
        <v>33279256.28</v>
      </c>
      <c r="W111" s="47">
        <f t="shared" si="23"/>
        <v>42655986.42</v>
      </c>
      <c r="X111" s="47">
        <f t="shared" si="23"/>
        <v>55619325.87</v>
      </c>
      <c r="Y111" s="47">
        <f t="shared" si="23"/>
        <v>29979513.69</v>
      </c>
      <c r="Z111" s="42">
        <f t="shared" si="22"/>
        <v>408469613.42999995</v>
      </c>
      <c r="AA111" s="45">
        <f t="shared" si="21"/>
        <v>0</v>
      </c>
    </row>
    <row r="112" ht="12.75">
      <c r="AA112" s="45"/>
    </row>
  </sheetData>
  <sheetProtection/>
  <mergeCells count="29">
    <mergeCell ref="O8:O9"/>
    <mergeCell ref="A81:G81"/>
    <mergeCell ref="D1:E1"/>
    <mergeCell ref="A7:A8"/>
    <mergeCell ref="C7:C8"/>
    <mergeCell ref="D7:D8"/>
    <mergeCell ref="E7:E8"/>
    <mergeCell ref="A3:J3"/>
    <mergeCell ref="A4:J4"/>
    <mergeCell ref="K20:K27"/>
    <mergeCell ref="K7:K8"/>
    <mergeCell ref="V8:V9"/>
    <mergeCell ref="W8:W9"/>
    <mergeCell ref="P8:P9"/>
    <mergeCell ref="Q8:Q9"/>
    <mergeCell ref="R8:R9"/>
    <mergeCell ref="S8:S9"/>
    <mergeCell ref="T8:T9"/>
    <mergeCell ref="U8:U9"/>
    <mergeCell ref="Z8:Z9"/>
    <mergeCell ref="A10:K10"/>
    <mergeCell ref="K13:K19"/>
    <mergeCell ref="X8:X9"/>
    <mergeCell ref="Y8:Y9"/>
    <mergeCell ref="J7:J8"/>
    <mergeCell ref="M8:M9"/>
    <mergeCell ref="N8:N9"/>
    <mergeCell ref="H7:H8"/>
    <mergeCell ref="F7:F8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2019-05-28T13:18:10Z</dcterms:modified>
  <cp:category/>
  <cp:version/>
  <cp:contentType/>
  <cp:contentStatus/>
</cp:coreProperties>
</file>